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8160" tabRatio="738" activeTab="5"/>
  </bookViews>
  <sheets>
    <sheet name="長期 1～3割" sheetId="1" r:id="rId1"/>
    <sheet name="短期入所1～3割" sheetId="2" r:id="rId2"/>
    <sheet name="予防ｼｮｰﾄ1～3割" sheetId="3" r:id="rId3"/>
    <sheet name="追加１割" sheetId="4" r:id="rId4"/>
    <sheet name="追加２割" sheetId="5" r:id="rId5"/>
    <sheet name="追加３割" sheetId="6" r:id="rId6"/>
    <sheet name="デイ１割 " sheetId="7" r:id="rId7"/>
    <sheet name="デイ2～3割 " sheetId="8" r:id="rId8"/>
    <sheet name="予防デイ1割" sheetId="9" r:id="rId9"/>
    <sheet name="予防デイ２～3割" sheetId="10" r:id="rId10"/>
    <sheet name="訪問リハ (仮)" sheetId="11" r:id="rId11"/>
  </sheets>
  <definedNames>
    <definedName name="_xlnm.Print_Area" localSheetId="6">'デイ１割 '!$A$2:$L$54,'デイ１割 '!$Q$8:$S$14,'デイ１割 '!$U$25:$Z$26,'デイ１割 '!$U$29:$Y$29,'デイ１割 '!$U$35:$Y$35,'デイ１割 '!$U$37:$Y$37,'デイ１割 '!$U$40:$AB$52</definedName>
    <definedName name="_xlnm.Print_Area" localSheetId="7">'デイ2～3割 '!$A$2:$AR$64</definedName>
    <definedName name="_xlnm.Print_Area" localSheetId="1">'短期入所1～3割'!$A$1:$N$102</definedName>
    <definedName name="_xlnm.Print_Area" localSheetId="0">'長期 1～3割'!$A$1:$P$104</definedName>
    <definedName name="_xlnm.Print_Area" localSheetId="3">'追加１割'!$A$1:$F$56</definedName>
    <definedName name="_xlnm.Print_Area" localSheetId="4">'追加２割'!$A$1:$F$56</definedName>
    <definedName name="_xlnm.Print_Area" localSheetId="5">'追加３割'!$A$1:$F$56,'追加３割'!$I$2:$J$39,'追加３割'!$K$43:$L$43,'追加３割'!$O$43:$P$43,'追加３割'!$S$43:$T$43</definedName>
    <definedName name="_xlnm.Print_Area" localSheetId="10">'訪問リハ (仮)'!$A$2:$L$54,'訪問リハ (仮)'!$Q$8:$R$14,'訪問リハ (仮)'!#REF!,'訪問リハ (仮)'!$U$22:$Y$22,'訪問リハ (仮)'!$U$28:$Y$28,'訪問リハ (仮)'!$U$30:$Y$30,'訪問リハ (仮)'!$W$33:$AJ$45</definedName>
    <definedName name="_xlnm.Print_Area" localSheetId="2">'予防ｼｮｰﾄ1～3割'!$A$1:$S$133,'予防ｼｮｰﾄ1～3割'!$Y$11:$AB$21,'予防ｼｮｰﾄ1～3割'!$AC$23:$AD$24,'予防ｼｮｰﾄ1～3割'!$AC$32:$AD$33,'予防ｼｮｰﾄ1～3割'!$AC$35:$AD$36,'予防ｼｮｰﾄ1～3割'!$AC$38:$AD$39</definedName>
    <definedName name="_xlnm.Print_Area" localSheetId="8">'予防デイ1割'!$A$1:$H$53</definedName>
    <definedName name="_xlnm.Print_Area" localSheetId="9">'予防デイ２～3割'!$A$1:$H$62,'予防デイ２～3割'!$L$18:$M$24,'予防デイ２～3割'!#REF!,'予防デイ２～3割'!$M$29:$O$29,'予防デイ２～3割'!$L$33:$O$33,'予防デイ２～3割'!$L$35:$O$35,'予防デイ２～3割'!$O$38:$O$40</definedName>
    <definedName name="_xlnm.Print_Titles" localSheetId="1">'短期入所1～3割'!$1:$1</definedName>
    <definedName name="_xlnm.Print_Titles" localSheetId="0">'長期 1～3割'!$1:$1</definedName>
    <definedName name="_xlnm.Print_Titles" localSheetId="2">'予防ｼｮｰﾄ1～3割'!$2:$2</definedName>
  </definedNames>
  <calcPr fullCalcOnLoad="1"/>
</workbook>
</file>

<file path=xl/comments5.xml><?xml version="1.0" encoding="utf-8"?>
<comments xmlns="http://schemas.openxmlformats.org/spreadsheetml/2006/main">
  <authors>
    <author>okuser05</author>
  </authors>
  <commentList>
    <comment ref="B31" authorId="0">
      <text>
        <r>
          <rPr>
            <sz val="12"/>
            <rFont val="ＭＳ Ｐゴシック"/>
            <family val="3"/>
          </rPr>
          <t>試行的退所時指導加算に名称変更
→退所時指導加算は廃止</t>
        </r>
        <r>
          <rPr>
            <sz val="9"/>
            <rFont val="ＭＳ Ｐゴシック"/>
            <family val="3"/>
          </rPr>
          <t xml:space="preserve">
</t>
        </r>
      </text>
    </comment>
    <comment ref="B35" authorId="0">
      <text>
        <r>
          <rPr>
            <sz val="14"/>
            <rFont val="ＭＳ Ｐゴシック"/>
            <family val="3"/>
          </rPr>
          <t>老人訪問看護指示加算
より名称変更</t>
        </r>
      </text>
    </comment>
  </commentList>
</comments>
</file>

<file path=xl/comments6.xml><?xml version="1.0" encoding="utf-8"?>
<comments xmlns="http://schemas.openxmlformats.org/spreadsheetml/2006/main">
  <authors>
    <author>okuser05</author>
  </authors>
  <commentList>
    <comment ref="B31" authorId="0">
      <text>
        <r>
          <rPr>
            <sz val="12"/>
            <rFont val="ＭＳ Ｐゴシック"/>
            <family val="3"/>
          </rPr>
          <t>試行的退所時指導加算に名称変更
→退所時指導加算は廃止</t>
        </r>
        <r>
          <rPr>
            <sz val="9"/>
            <rFont val="ＭＳ Ｐゴシック"/>
            <family val="3"/>
          </rPr>
          <t xml:space="preserve">
</t>
        </r>
      </text>
    </comment>
    <comment ref="B35" authorId="0">
      <text>
        <r>
          <rPr>
            <sz val="14"/>
            <rFont val="ＭＳ Ｐゴシック"/>
            <family val="3"/>
          </rPr>
          <t>老人訪問看護指示加算
より名称変更</t>
        </r>
      </text>
    </comment>
  </commentList>
</comments>
</file>

<file path=xl/sharedStrings.xml><?xml version="1.0" encoding="utf-8"?>
<sst xmlns="http://schemas.openxmlformats.org/spreadsheetml/2006/main" count="1324" uniqueCount="511">
  <si>
    <t>医療法人岡谷会</t>
  </si>
  <si>
    <t>介護老人保健施設　やくしの里　利用料一覧表</t>
  </si>
  <si>
    <t>長期入所サービス</t>
  </si>
  <si>
    <t>＜基本サービス費＞</t>
  </si>
  <si>
    <t>負担限度</t>
  </si>
  <si>
    <t>部屋</t>
  </si>
  <si>
    <t>介護度</t>
  </si>
  <si>
    <r>
      <t>介護保険ｻｰﾋﾞｽ費</t>
    </r>
    <r>
      <rPr>
        <b/>
        <sz val="11"/>
        <rFont val="ＭＳ Ｐゴシック"/>
        <family val="3"/>
      </rPr>
      <t>※１</t>
    </r>
  </si>
  <si>
    <t>サービス提供体制強化加算※3</t>
  </si>
  <si>
    <t>食　費</t>
  </si>
  <si>
    <t>居住費</t>
  </si>
  <si>
    <t>おやつ</t>
  </si>
  <si>
    <t>1日合計</t>
  </si>
  <si>
    <t>第4段階以上</t>
  </si>
  <si>
    <t>市民税世帯課税の方</t>
  </si>
  <si>
    <t>2・4人</t>
  </si>
  <si>
    <t>個室</t>
  </si>
  <si>
    <t>生活保護受給者　</t>
  </si>
  <si>
    <t>老齢福祉年金受給者</t>
  </si>
  <si>
    <t>医療法人岡谷会　介護老人保健施設やくしの里</t>
  </si>
  <si>
    <t>短期入所サービス</t>
  </si>
  <si>
    <t>食　費　　**</t>
  </si>
  <si>
    <t>**   食費の内訳は朝食380円、昼食700円,夕食800円となっています。</t>
  </si>
  <si>
    <t>医療法人岡谷会　　　　</t>
  </si>
  <si>
    <t>介護老人保健施設やくしの里</t>
  </si>
  <si>
    <t>介護老人保健施設やくしの里　利用料金一覧表</t>
  </si>
  <si>
    <t>予防短期入所</t>
  </si>
  <si>
    <t>食　費 　　**</t>
  </si>
  <si>
    <t>要支援1</t>
  </si>
  <si>
    <t>要支援2</t>
  </si>
  <si>
    <t>**　 食費の内訳は、朝食380円、昼食700円、夕食800円となっています。</t>
  </si>
  <si>
    <t>＜追加サービス費＞</t>
  </si>
  <si>
    <t>　加　　算　　項　　目</t>
  </si>
  <si>
    <t>教養娯楽費</t>
  </si>
  <si>
    <t>実費</t>
  </si>
  <si>
    <t>散髪代/１回</t>
  </si>
  <si>
    <t>顔剃り/1回</t>
  </si>
  <si>
    <t>テレビ持ち込み料金/1日</t>
  </si>
  <si>
    <t>送迎加算(片道)　</t>
  </si>
  <si>
    <t>　　初期加算　(入所後30日間)　　　　</t>
  </si>
  <si>
    <t>　　外泊加算/1日　　　　　　　　　　　</t>
  </si>
  <si>
    <t>　　経口移行加算/1日　</t>
  </si>
  <si>
    <t>　　退所時情報提供加算</t>
  </si>
  <si>
    <t>文書料・診断書(簡易)　1通</t>
  </si>
  <si>
    <t>文書料・診断書(普通)　1通</t>
  </si>
  <si>
    <t>文書料・診断書(複雑)　1通</t>
  </si>
  <si>
    <t>　　　　被爆者手帳をお持ちの方はやくしの里事務所に提示して下さい。1割負担金が免除されます。</t>
  </si>
  <si>
    <t>通所リハビリ</t>
  </si>
  <si>
    <t>昼食代</t>
  </si>
  <si>
    <t>1日合計　　　　（入浴なし)</t>
  </si>
  <si>
    <t>&lt;　　追加サービス費　　　&gt;</t>
  </si>
  <si>
    <t>おむつ(パット)　　(１枚)</t>
  </si>
  <si>
    <t>おむつ(ナイト)　　(１枚)</t>
  </si>
  <si>
    <t>散髪代/1回</t>
  </si>
  <si>
    <t xml:space="preserve">文書料・証明書(普通)　1通 </t>
  </si>
  <si>
    <t>デイ延長料(1時間ごと)</t>
  </si>
  <si>
    <t>デイ延長料の夕食代</t>
  </si>
  <si>
    <t>医療法人岡谷会　介護老人保健施設　やくしの里　利用料一覧表</t>
  </si>
  <si>
    <t>介護予防通所ﾘﾊﾋﾞﾘ</t>
  </si>
  <si>
    <t>介護保険サービス費用</t>
  </si>
  <si>
    <t>食事</t>
  </si>
  <si>
    <t>おむつ(パット）　（1枚）</t>
  </si>
  <si>
    <t>おむつ(ナイト）　　　　（1枚）</t>
  </si>
  <si>
    <t>文書料・証明書（普通）1通</t>
  </si>
  <si>
    <t>文書料・診断書（普通）1通</t>
  </si>
  <si>
    <t>文書料・診断書（複雑）1通</t>
  </si>
  <si>
    <t>デイ延長料（1時間ごと）</t>
  </si>
  <si>
    <t>※キャンセル料について</t>
  </si>
  <si>
    <t>　　やむを得ない事由等以外でキャンセルされる場合は別途料金をいただくことがあります。</t>
  </si>
  <si>
    <t>　</t>
  </si>
  <si>
    <t>居住費・食費</t>
  </si>
  <si>
    <t>保険外</t>
  </si>
  <si>
    <t>保険内</t>
  </si>
  <si>
    <t>追加サービス費がある場合は上記よりも料金が若干上がりますのであらかじめご了承下さい。</t>
  </si>
  <si>
    <t>1,889円</t>
  </si>
  <si>
    <t>　　緊急時治療管理　</t>
  </si>
  <si>
    <t>食費・居住費</t>
  </si>
  <si>
    <t>市民税世帯非課税で合計所得と課税年金収入の合計が年８０万円以下の方</t>
  </si>
  <si>
    <t>入浴なし</t>
  </si>
  <si>
    <t xml:space="preserve">     死亡月の利用料に合わせて請求いたしますのでご了解願います。</t>
  </si>
  <si>
    <t xml:space="preserve"> ﾛ：呼吸器障害により人工呼吸器使用</t>
  </si>
  <si>
    <t xml:space="preserve"> ﾊ：中心静脈栄養を実施</t>
  </si>
  <si>
    <t>ﾆ：人工腎臓を実施かつ重篤な合併症を有する</t>
  </si>
  <si>
    <t>ﾎ：重篤な心機能障害、呼吸障害により常時モニター測定</t>
  </si>
  <si>
    <t>ﾘ：気管切開</t>
  </si>
  <si>
    <t>追　　加　　加　　算　　項　　目</t>
  </si>
  <si>
    <t>追加サービス費がある場合は上記よりも若干料金が上がりますのであらかじめご了承下さい。</t>
  </si>
  <si>
    <t>　   　高脂血症食・痛風食等が必要な方が対象となります。</t>
  </si>
  <si>
    <t>　ﾄ：経鼻胃管・胃ろう等の経腸栄養の状態</t>
  </si>
  <si>
    <t>ｻｰﾋﾞｽ提供強化加算    ※2</t>
  </si>
  <si>
    <t>医療法人岡谷会　介護老人保健施設やくしの里　　</t>
  </si>
  <si>
    <t>医療法人岡谷会　介護老人保健施設やくしの里</t>
  </si>
  <si>
    <t>　　認知症短期集中ﾘﾊﾋﾞﾘ実施加算/1日　　※1</t>
  </si>
  <si>
    <t>重度療養管理加算　※4</t>
  </si>
  <si>
    <t>重度療養管理加算　　　※1・※5</t>
  </si>
  <si>
    <t>夜勤職員配置加算　※4</t>
  </si>
  <si>
    <t>介護ｻｰﾋﾞｽ費　※1</t>
  </si>
  <si>
    <t>医療法人岡谷会　介護老人保健施設やくしの里　                   　　　</t>
  </si>
  <si>
    <t>栄養ﾏﾈｼﾞﾒﾝﾄ加算　※1</t>
  </si>
  <si>
    <t>　　経口維持加算(Ⅰ)/月</t>
  </si>
  <si>
    <t>　　経口維持加算(Ⅱ)/月</t>
  </si>
  <si>
    <t>　　入所前後訪問指導加算（Ⅰ）　</t>
  </si>
  <si>
    <t>　　入所前後訪問指導加算(Ⅱ）</t>
  </si>
  <si>
    <t>　　短期集中ﾘﾊﾋﾞﾘ実施加算/1日　　※1</t>
  </si>
  <si>
    <t>認知症短期集中ﾘﾊﾋﾞﾘﾃｰｼｮﾝ実施加算(Ⅰ)（通所開始日から3ヶ月以内）※1</t>
  </si>
  <si>
    <t>.</t>
  </si>
  <si>
    <t>サービス提供体制加算</t>
  </si>
  <si>
    <t>サービス費</t>
  </si>
  <si>
    <t>要支援1</t>
  </si>
  <si>
    <t>要支援2</t>
  </si>
  <si>
    <t>　※上記の表にサービス提供体制加算と合算したものを転記</t>
  </si>
  <si>
    <t>　※表のサービス提供体制加算に転記とする。</t>
  </si>
  <si>
    <t>　　ターミナルケア加算　　死亡日</t>
  </si>
  <si>
    <t>　　ターミナルケア加算　　2日～3日：</t>
  </si>
  <si>
    <t>　　ターミナルケア加算　４日～３０日</t>
  </si>
  <si>
    <t>処遇改善加算</t>
  </si>
  <si>
    <t>総単位合計の4.7％の金額</t>
  </si>
  <si>
    <t>2割負担</t>
  </si>
  <si>
    <t>保険内（2割負担額）</t>
  </si>
  <si>
    <t>介護保険サービス費</t>
  </si>
  <si>
    <t>サービス提供体制強化加算</t>
  </si>
  <si>
    <t>夜勤職員配置加算</t>
  </si>
  <si>
    <t>介護保険負担割合（2割）</t>
  </si>
  <si>
    <t>地域区分（％）</t>
  </si>
  <si>
    <t>介護保険負担割合（1割）</t>
  </si>
  <si>
    <t>介護サービス費</t>
  </si>
  <si>
    <t>1割負担</t>
  </si>
  <si>
    <t>　　所定疾患施設療養費(Ⅱ)　※5</t>
  </si>
  <si>
    <t>排せつ支援加算　※1</t>
  </si>
  <si>
    <t>　　訪問看護指示加算　</t>
  </si>
  <si>
    <t>在宅復帰・在宅療養支援機能加算</t>
  </si>
  <si>
    <t>リハ提供体制加算（6-7時間)</t>
  </si>
  <si>
    <t>　　試行的退所時指導加算</t>
  </si>
  <si>
    <t>　　試行的退所時指導加算</t>
  </si>
  <si>
    <t>　　外泊加算/1日　　　　　　　　　　　</t>
  </si>
  <si>
    <t>外泊加算/1日(在宅ｻｰﾋﾞｽを利用する場合)</t>
  </si>
  <si>
    <t>外泊加算/1日(在宅ｻｰﾋﾞｽを利用する場合)</t>
  </si>
  <si>
    <t>療養食加算/1食　**</t>
  </si>
  <si>
    <t>長期</t>
  </si>
  <si>
    <t>短期</t>
  </si>
  <si>
    <t>中重度ケア体制加算</t>
  </si>
  <si>
    <t xml:space="preserve"> 追加ｻｰﾋﾞｽ費がある場合、上記よりも料金が上がりますのであらかじめご了承下さい</t>
  </si>
  <si>
    <t>　　やむを得ない理由等以外でキャンセルされる場合は 別途料金をいただくことがあります。</t>
  </si>
  <si>
    <r>
      <t xml:space="preserve"> 介護保険ｻｰﾋﾞｽ費　</t>
    </r>
    <r>
      <rPr>
        <sz val="10"/>
        <rFont val="ＭＳ Ｐゴシック"/>
        <family val="3"/>
      </rPr>
      <t>※1</t>
    </r>
  </si>
  <si>
    <r>
      <t>介護保険ｻｰﾋﾞｽ費</t>
    </r>
    <r>
      <rPr>
        <b/>
        <sz val="12"/>
        <rFont val="ＭＳ Ｐゴシック"/>
        <family val="3"/>
      </rPr>
      <t>※１</t>
    </r>
  </si>
  <si>
    <t>※2　介護度4・5で以下の状態の方</t>
  </si>
  <si>
    <t>重度療養管理加算　※2</t>
  </si>
  <si>
    <t>　　所定疾患施設療養費(Ⅱ)　※3</t>
  </si>
  <si>
    <t>　　ターミナルケア加算　　　　　　※4</t>
  </si>
  <si>
    <t>※5　突発的な汚染衣類を施設内で洗濯した場合に係る費用のご負担をしていただきます。</t>
  </si>
  <si>
    <t>汚染時・洗濯代/枚　　　※5</t>
  </si>
  <si>
    <t>　　ｲ：常時頻回の喀痰吸引実施</t>
  </si>
  <si>
    <t>　　ﾍ：膀胱・直腸の機能障害で障害等級4級以上かつストマー処置</t>
  </si>
  <si>
    <t>　　ﾁ：褥瘡に対する治療処置</t>
  </si>
  <si>
    <t>※4　終末期に関して、ご家族様に医師・スタッフ等からご説明をし同意をいただいた場合で、ご本人様がお亡くなりになった場合に、</t>
  </si>
  <si>
    <t xml:space="preserve"> (入所日より3ヶ月間) </t>
  </si>
  <si>
    <t xml:space="preserve"> (入所日より3ヶ月間) </t>
  </si>
  <si>
    <t>※3　肺炎・尿路感染症、帯状疱疹の治療が必要となった場合に対象となります。</t>
  </si>
  <si>
    <t>介護職員処遇改善加算     ※2</t>
  </si>
  <si>
    <t xml:space="preserve">  　(被爆者手帳をお持ちの方はやくしの里事務所に提示して下さい。 介護保険サービス一割負担金が免除されます。)</t>
  </si>
  <si>
    <t>(被爆者手帳をお持ちの方はやくしの里事務所に提示して下さい。 介護保険サービス一割負担金が免除されます。)</t>
  </si>
  <si>
    <t>　</t>
  </si>
  <si>
    <t>短期集中ﾘﾊﾋﾞﾘ実施加算/1日</t>
  </si>
  <si>
    <t>認知症短期集中ﾘﾊﾋﾞﾘ実施加算/1日</t>
  </si>
  <si>
    <t>ﾘﾊｻｰﾋﾞｽ提供体制加算（6-7時間)　リハ対象者</t>
  </si>
  <si>
    <t>認知症短期集中ﾘﾊﾋﾞﾘﾃｰｼｮﾝ実施加算(Ⅰ)（通所開始日から3ヶ月以内）</t>
  </si>
  <si>
    <t>☆キャンセル料金について</t>
  </si>
  <si>
    <t>運動器機能向上加算／月1回</t>
  </si>
  <si>
    <t>栄養改善加算加算　／月１回</t>
  </si>
  <si>
    <t>介護職員処遇改善加算　/　月1回　※2</t>
  </si>
  <si>
    <t>保険内　※3</t>
  </si>
  <si>
    <t>療養食加算/1食</t>
  </si>
  <si>
    <t>　(2割負担金※１)</t>
  </si>
  <si>
    <t xml:space="preserve">要支援１(1ヶ月) </t>
  </si>
  <si>
    <t>要支援２（1ヶ月）</t>
  </si>
  <si>
    <t>おやつ　（1回）</t>
  </si>
  <si>
    <t>昼食代　（1回）</t>
  </si>
  <si>
    <t>　　褥瘡マネジメント加算</t>
  </si>
  <si>
    <t>　　所定疾患施設療養費(Ⅰ)　※3</t>
  </si>
  <si>
    <t>　　　　(一月に7日限度)</t>
  </si>
  <si>
    <t>　　低栄養リスク改善加算</t>
  </si>
  <si>
    <t>　　再入所時栄養連携加算</t>
  </si>
  <si>
    <t>　　かかりつけ医連携薬剤調整加算</t>
  </si>
  <si>
    <t>　　褥瘡マネジメント加算/1月</t>
  </si>
  <si>
    <t>　　排せつ支援加算/１月</t>
  </si>
  <si>
    <t>3割負担</t>
  </si>
  <si>
    <t>介護保険負担割合（3割）</t>
  </si>
  <si>
    <t>2割</t>
  </si>
  <si>
    <t>3割</t>
  </si>
  <si>
    <t>　(３割負担金※１)</t>
  </si>
  <si>
    <t>介護保険負担割合（３割）</t>
  </si>
  <si>
    <t>２割</t>
  </si>
  <si>
    <t>３割</t>
  </si>
  <si>
    <t>３割用</t>
  </si>
  <si>
    <t>２，４６５円　　　※1</t>
  </si>
  <si>
    <t>１，５００円</t>
  </si>
  <si>
    <t xml:space="preserve"> ５００円</t>
  </si>
  <si>
    <t xml:space="preserve"> ５０円</t>
  </si>
  <si>
    <t>　　　１００円</t>
  </si>
  <si>
    <t>２割用</t>
  </si>
  <si>
    <t>1,889円</t>
  </si>
  <si>
    <t xml:space="preserve"> １３円　　　※1</t>
  </si>
  <si>
    <t>２４７円　　 　※1</t>
  </si>
  <si>
    <t>短期集中ﾘﾊﾋﾞﾘ実施加算/1日</t>
  </si>
  <si>
    <t>４９３円　　　※1</t>
  </si>
  <si>
    <t>　　短期集中ﾘﾊﾋﾞﾘ実施加算/1日　　※1</t>
  </si>
  <si>
    <t>　　緊急時治療管理　</t>
  </si>
  <si>
    <t>８２２円　　　※1</t>
  </si>
  <si>
    <t>　　所定疾患施設療養費(Ⅰ)　※5</t>
  </si>
  <si>
    <t>９２５円　　　※1</t>
  </si>
  <si>
    <t>９８６円　　　※1</t>
  </si>
  <si>
    <t>１，０２７円　 ※1</t>
  </si>
  <si>
    <t>　　訪問看護指示加算　</t>
  </si>
  <si>
    <t>　　ターミナルケア加算　　　　　　※4</t>
  </si>
  <si>
    <t>　　ターミナルケア加算　　2日～3日：</t>
  </si>
  <si>
    <t>１，５００円</t>
  </si>
  <si>
    <t xml:space="preserve"> ５００円</t>
  </si>
  <si>
    <t xml:space="preserve"> ５０円</t>
  </si>
  <si>
    <t>汚染時・洗濯代/枚　　　※5</t>
  </si>
  <si>
    <t>　　　１００円</t>
  </si>
  <si>
    <t xml:space="preserve">     死亡月の利用料に合わせて請求いたしますのでご了解願います。</t>
  </si>
  <si>
    <t>※5　突発的な汚染衣類を施設内で洗濯した場合に係る費用のご負担をしていただきます。</t>
  </si>
  <si>
    <t>医療法人岡谷会　介護老人保健施設やくしの里　　</t>
  </si>
  <si>
    <t>.</t>
  </si>
  <si>
    <t>１割用</t>
  </si>
  <si>
    <t xml:space="preserve"> １８９円　　　※1</t>
  </si>
  <si>
    <t>1,889円</t>
  </si>
  <si>
    <t xml:space="preserve"> ７円　　　　※1</t>
  </si>
  <si>
    <t xml:space="preserve"> ９円　　　※1</t>
  </si>
  <si>
    <t xml:space="preserve"> １２４円　　　※1</t>
  </si>
  <si>
    <t>短期集中ﾘﾊﾋﾞﾘ実施加算/1日</t>
  </si>
  <si>
    <t>２４７円　 　　※1</t>
  </si>
  <si>
    <t>２４７円 (個別ﾘﾊﾋﾞﾘﾃｰｼｮﾝ実施加算)　※1</t>
  </si>
  <si>
    <t>　　短期集中ﾘﾊﾋﾞﾘ実施加算/1日　　※1</t>
  </si>
  <si>
    <t>　　緊急時治療管理　</t>
  </si>
  <si>
    <t>５２５円　　　※1</t>
  </si>
  <si>
    <t xml:space="preserve"> ３１円　 　　※1</t>
  </si>
  <si>
    <t xml:space="preserve"> ３７２円　　 　※1</t>
  </si>
  <si>
    <t>　　外泊加算/1日　　　　　　　　　　　</t>
  </si>
  <si>
    <t xml:space="preserve"> ８２２円　　　※1</t>
  </si>
  <si>
    <t xml:space="preserve"> ２９円　　　　※1</t>
  </si>
  <si>
    <t xml:space="preserve"> ４１１円　　　※1</t>
  </si>
  <si>
    <t xml:space="preserve"> １０３円　　　　※1</t>
  </si>
  <si>
    <t xml:space="preserve"> ３０９円　　　　※1</t>
  </si>
  <si>
    <t xml:space="preserve"> ４１１円　　　　※1</t>
  </si>
  <si>
    <t xml:space="preserve"> １２９円　　　　※1</t>
  </si>
  <si>
    <t xml:space="preserve"> ４６３円　　　　※1</t>
  </si>
  <si>
    <t xml:space="preserve"> ４９３円　　　　※1</t>
  </si>
  <si>
    <t xml:space="preserve"> ５１４円　　　　※1</t>
  </si>
  <si>
    <t>　　訪問看護指示加算　</t>
  </si>
  <si>
    <t>　　ターミナルケア加算　　　　　　※4</t>
  </si>
  <si>
    <t>　　ターミナルケア加算　　2日～3日：</t>
  </si>
  <si>
    <t>１，５００円</t>
  </si>
  <si>
    <t xml:space="preserve"> ５００円</t>
  </si>
  <si>
    <t xml:space="preserve"> ５０円</t>
  </si>
  <si>
    <t>汚染時・洗濯代/枚　　　※5</t>
  </si>
  <si>
    <t>　　　１００円</t>
  </si>
  <si>
    <t>　　　　被爆者手帳をお持ちの方はやくしの里事務所に提示して下さい。1割負担金が免除されます。</t>
  </si>
  <si>
    <t xml:space="preserve">     死亡月の利用料に合わせて請求いたしますのでご了解願います。</t>
  </si>
  <si>
    <t>※5　突発的な汚染衣類を施設内で洗濯した場合に係る費用のご負担をしていただきます。</t>
  </si>
  <si>
    <t>３７８円　　　※1</t>
  </si>
  <si>
    <t>１７円　　 　※1</t>
  </si>
  <si>
    <t>７４０円　　　※1</t>
  </si>
  <si>
    <t xml:space="preserve"> １９円　　　※1</t>
  </si>
  <si>
    <t>４９３円(個別ﾘﾊﾋﾞﾘﾃｰｼｮﾝ実施加算)　※1</t>
  </si>
  <si>
    <t>７４０円(個別ﾘﾊﾋﾞﾘﾃｰｼｮﾝ実施加算)　※1</t>
  </si>
  <si>
    <t>１，０５０円　　　　※1</t>
  </si>
  <si>
    <t>２４７円 　　※1</t>
  </si>
  <si>
    <t>５６７円　　　※1</t>
  </si>
  <si>
    <t>２５円　　 　※1</t>
  </si>
  <si>
    <t>３７０円 　　※1</t>
  </si>
  <si>
    <t>７４４円　　　　※１</t>
  </si>
  <si>
    <t>８２２円　　　　※１</t>
  </si>
  <si>
    <t>２０６円　　　　※１</t>
  </si>
  <si>
    <t xml:space="preserve"> １，２３３円　　※1</t>
  </si>
  <si>
    <t xml:space="preserve"> ９２５円　　　　※1</t>
  </si>
  <si>
    <t xml:space="preserve"> ３８６円　　　　※1</t>
  </si>
  <si>
    <t xml:space="preserve"> １，３８７円　　※1</t>
  </si>
  <si>
    <t xml:space="preserve"> １，４７９円　　※1</t>
  </si>
  <si>
    <t xml:space="preserve"> １，５４１円　　※1</t>
  </si>
  <si>
    <t xml:space="preserve">  ９３円　　　　　※1</t>
  </si>
  <si>
    <t>１，１１６円　　　※１</t>
  </si>
  <si>
    <t xml:space="preserve">  ８７円　　　　　※1</t>
  </si>
  <si>
    <t>１，２３３円　　　※１</t>
  </si>
  <si>
    <t>１，５７５円　　　　※1</t>
  </si>
  <si>
    <t>９２５円　　　　※1</t>
  </si>
  <si>
    <t>８２２円　　  ※1</t>
  </si>
  <si>
    <t>６１７円　　  ※1</t>
  </si>
  <si>
    <t xml:space="preserve">  ５８円　　　　※1</t>
  </si>
  <si>
    <t xml:space="preserve">  ６２円　　　　※1</t>
  </si>
  <si>
    <t>３０９円　　　 　※１</t>
  </si>
  <si>
    <t>２５７円　　　※1</t>
  </si>
  <si>
    <t>1割</t>
  </si>
  <si>
    <t>要支援１(1ヶ月)</t>
  </si>
  <si>
    <t>　(1割負担金※１)</t>
  </si>
  <si>
    <t>２割負担</t>
  </si>
  <si>
    <t>３割負担</t>
  </si>
  <si>
    <t>１割負担</t>
  </si>
  <si>
    <t>介護保険負担割合（２割）</t>
  </si>
  <si>
    <t>介護保険負担割合（１割）</t>
  </si>
  <si>
    <t>☆　上記の料金は１日あたりの項目ごとに金額を計算しているため、実際の月単位の計算とは誤差が生じます。あらかじめご了承ください。</t>
  </si>
  <si>
    <t>☆ 上記の料金は1日あたりの項目ごとの金額を計算しているため、実際の月単位の計算とは誤差が生じます。あらかじめご了承ください。</t>
  </si>
  <si>
    <t>☆   上記の料金は1日あたりの項目ごとの金額を計算しているため、実際の月単位の計算とは誤差が生じます。あらかじめご了承下さい。</t>
  </si>
  <si>
    <t xml:space="preserve">被爆者手帳をお持ちの方はやくしの里事務所に提示をして下さい。負担が免除されます。 </t>
  </si>
  <si>
    <t>　(３割)</t>
  </si>
  <si>
    <t>　(２割)</t>
  </si>
  <si>
    <t>＜支援2＞2割:298円,3割：447円)を含んでいます。</t>
  </si>
  <si>
    <t>※1　介護保険サービス費には、サービス提供体制加算(＜支援1＞2割：149円,3割:224円、</t>
  </si>
  <si>
    <t>１，６４４円　　※1</t>
  </si>
  <si>
    <t xml:space="preserve">おむつ(フラット・ワイド)   (1枚) </t>
  </si>
  <si>
    <t>ニ：人工腎臓を実施かつ重篤な合併症を有する</t>
  </si>
  <si>
    <t>ハ：中心静脈栄養を実施</t>
  </si>
  <si>
    <t>チ：褥瘡に対する治療処置</t>
  </si>
  <si>
    <t>ト：経鼻胃管・胃ろう等の経腸栄養の状態</t>
  </si>
  <si>
    <t>へ：膀胱・直腸の機能障害で障害等級4級以上かつストマー処置</t>
  </si>
  <si>
    <t>※1　介護保険サービス費の1割負担の金額となります。</t>
  </si>
  <si>
    <t>※1　介護保険サービス費の３割負担の金額となります。</t>
  </si>
  <si>
    <t>※1　介護保険サービス費の２割負担の金額となります。</t>
  </si>
  <si>
    <t>　　ﾆ：人工腎臓を実施かつ重篤な合併症を有する</t>
  </si>
  <si>
    <t>１，８８９円</t>
  </si>
  <si>
    <t>ハイパー・紙パンツ　　(各１枚)</t>
  </si>
  <si>
    <t>ハイパー、紙パンツ　　(各１枚)</t>
  </si>
  <si>
    <t>ハイパー、紙パンツ　　（各1枚）</t>
  </si>
  <si>
    <t>おむつ（フラット、ワイド）　（１枚）</t>
  </si>
  <si>
    <t>おむつ（フラット,ワイド）　（１枚）</t>
  </si>
  <si>
    <t>おむつ(ナイト）　　　　（1枚）</t>
  </si>
  <si>
    <t>１ヶ月合計</t>
  </si>
  <si>
    <t>介護職員処遇改善加算    ※2</t>
  </si>
  <si>
    <t>介護職員特定処遇改善加算     ※2</t>
  </si>
  <si>
    <t xml:space="preserve">ｻｰﾋﾞｽ提供強化加算    </t>
  </si>
  <si>
    <t>処遇改善加算Ⅰ</t>
  </si>
  <si>
    <t>特定処遇改善加算Ⅰ</t>
  </si>
  <si>
    <t>介護職員処遇改善加算     ※21</t>
  </si>
  <si>
    <t>ｻｰﾋﾞｽ提供強化加算</t>
  </si>
  <si>
    <t>特定処遇改善加算</t>
  </si>
  <si>
    <t>総単位合計の2.0％の金額</t>
  </si>
  <si>
    <t>※1　介護保険サービス費には、サービス提供体制加算(支援1：91円/支援2:149円)を含んでいます。</t>
  </si>
  <si>
    <r>
      <t>\579</t>
    </r>
    <r>
      <rPr>
        <sz val="11"/>
        <rFont val="ＭＳ Ｐゴシック"/>
        <family val="3"/>
      </rPr>
      <t>(月1回)</t>
    </r>
  </si>
  <si>
    <r>
      <t>\2</t>
    </r>
    <r>
      <rPr>
        <sz val="11"/>
        <rFont val="ＭＳ Ｐゴシック"/>
        <family val="3"/>
      </rPr>
      <t>48</t>
    </r>
    <r>
      <rPr>
        <sz val="11"/>
        <rFont val="ＭＳ Ｐゴシック"/>
        <family val="3"/>
      </rPr>
      <t>(月1回)</t>
    </r>
  </si>
  <si>
    <r>
      <t>\858</t>
    </r>
    <r>
      <rPr>
        <sz val="11"/>
        <rFont val="ＭＳ Ｐゴシック"/>
        <family val="3"/>
      </rPr>
      <t>(月1回)</t>
    </r>
  </si>
  <si>
    <r>
      <t>\</t>
    </r>
    <r>
      <rPr>
        <sz val="11"/>
        <rFont val="ＭＳ Ｐゴシック"/>
        <family val="3"/>
      </rPr>
      <t>527</t>
    </r>
    <r>
      <rPr>
        <sz val="11"/>
        <rFont val="ＭＳ Ｐゴシック"/>
        <family val="3"/>
      </rPr>
      <t>(月1回)</t>
    </r>
  </si>
  <si>
    <t>栄養マネジメント強化加算/日</t>
  </si>
  <si>
    <t>　　栄養マネジメント強化加算/日</t>
  </si>
  <si>
    <t xml:space="preserve"> 1２円　 　　※1</t>
  </si>
  <si>
    <t>　　入退所前連携加算 Ⅰ</t>
  </si>
  <si>
    <t>　　入退所前連携加算 Ⅱ</t>
  </si>
  <si>
    <t xml:space="preserve"> ６１７円　　　　※1</t>
  </si>
  <si>
    <t>　　ターミナルケア加算　３１日～４５日</t>
  </si>
  <si>
    <t>死亡日：　　 　１，６９５円　　　　　　　　　　　2日～3日：　　　　８４３円　　　　　　　　４日～３０日：　　　１６５円　　　３１日～４５日：　　　83円　　　　　　　　　　　　</t>
  </si>
  <si>
    <t>※3　肺炎・尿路感染症・帯状疱疹・蜂窩織炎の治療が必要となった場合に対象となります。</t>
  </si>
  <si>
    <t>２４６円　　　　※1</t>
  </si>
  <si>
    <t>４９３円　　　　※1</t>
  </si>
  <si>
    <t>　　　　(一月に10日限度)</t>
  </si>
  <si>
    <t>　　　　(一月に７日限度)</t>
  </si>
  <si>
    <t>４９１円　　 　※1</t>
  </si>
  <si>
    <t xml:space="preserve"> ８２２円　　　　※1</t>
  </si>
  <si>
    <t xml:space="preserve"> １２３３円　　　　※1</t>
  </si>
  <si>
    <t>６１７円　　　　※1</t>
  </si>
  <si>
    <t>死亡日： 　 ３，３９０円　　　　　　　　　　　2日～3日： １，６８５円　　　　　　　　４日～３０日：　３２９円　　　　　　　３１日～４５日：１６５円</t>
  </si>
  <si>
    <t xml:space="preserve"> ２３円　 　　※1</t>
  </si>
  <si>
    <t>３４円　 　　※1</t>
  </si>
  <si>
    <t>７３７円　　　　※1</t>
  </si>
  <si>
    <t>１，４７９円　　　※1</t>
  </si>
  <si>
    <t xml:space="preserve"> １，８４９円　　※1</t>
  </si>
  <si>
    <t>死亡日：　　５，０８４円　　　　　　　　　　2日～3日： ２，５２７円　　　　　　　　４日～３０日：　４９３円　　　　　　　　３１日～４５日：　２４７円</t>
  </si>
  <si>
    <t>1,157(月1回)</t>
  </si>
  <si>
    <r>
      <t>\496</t>
    </r>
    <r>
      <rPr>
        <sz val="11"/>
        <rFont val="ＭＳ Ｐゴシック"/>
        <family val="3"/>
      </rPr>
      <t>(月1回)</t>
    </r>
  </si>
  <si>
    <r>
      <t>\1,715</t>
    </r>
    <r>
      <rPr>
        <sz val="11"/>
        <rFont val="ＭＳ Ｐゴシック"/>
        <family val="3"/>
      </rPr>
      <t>(月1回)</t>
    </r>
  </si>
  <si>
    <r>
      <t>\1,054</t>
    </r>
    <r>
      <rPr>
        <sz val="11"/>
        <rFont val="ＭＳ Ｐゴシック"/>
        <family val="3"/>
      </rPr>
      <t>(月1回)</t>
    </r>
  </si>
  <si>
    <t>1,736(月1回)</t>
  </si>
  <si>
    <r>
      <t>\744</t>
    </r>
    <r>
      <rPr>
        <sz val="11"/>
        <rFont val="ＭＳ Ｐゴシック"/>
        <family val="3"/>
      </rPr>
      <t>(月1回)</t>
    </r>
  </si>
  <si>
    <t>サービス提供体制強化加算Ⅰ</t>
  </si>
  <si>
    <t>※2　介護職員の賃金改善・労働条件改善を目的として加算となります。</t>
  </si>
  <si>
    <t>税込：５5０円　（税別：５００円）</t>
  </si>
  <si>
    <t>税込：1,100円(税別：1,000円)</t>
  </si>
  <si>
    <t>税込：5,500円(税別：5,001円)</t>
  </si>
  <si>
    <t>入浴介助サービス費Ⅱ</t>
  </si>
  <si>
    <t>入浴介助サービス費Ⅰ</t>
  </si>
  <si>
    <t>入浴介助サービス費Ⅰ</t>
  </si>
  <si>
    <t>入浴Ⅰ</t>
  </si>
  <si>
    <t>入浴Ⅱ</t>
  </si>
  <si>
    <t>1日合計  　　　 (入浴Ⅰ)</t>
  </si>
  <si>
    <t>1日合計  　　　 (入浴Ⅱ)</t>
  </si>
  <si>
    <t>ﾘﾊﾋﾞﾘﾏﾈｼﾞﾒﾝﾄ加算Ａ11</t>
  </si>
  <si>
    <t>ﾘﾊﾋﾞﾘﾏﾈｼﾞﾒﾝﾄ加算Ａ12</t>
  </si>
  <si>
    <t>ﾘﾊﾋﾞﾘﾏﾈｼﾞﾒﾝﾄ加算Ｂ11</t>
  </si>
  <si>
    <t>ﾘﾊﾋﾞﾘﾏﾈｼﾞﾒﾝﾄ加算Ｂ12</t>
  </si>
  <si>
    <t>送迎減算</t>
  </si>
  <si>
    <t>重度療養管理加算　　　※1・※4</t>
  </si>
  <si>
    <t>単位</t>
  </si>
  <si>
    <t>-47</t>
  </si>
  <si>
    <t>ﾘﾊﾋﾞﾘﾏﾈｼﾞﾒﾝﾄ加算Ａ21　(ＬＩＦＥ対応)</t>
  </si>
  <si>
    <t>ﾘﾊﾋﾞﾘﾏﾈｼﾞﾒﾝﾄ加算Ａ22　(ＬＩＦＥ対応)</t>
  </si>
  <si>
    <t>ﾘﾊﾋﾞﾘﾏﾈｼﾞﾒﾝﾄ加算Ｂ21　(ＬＩＦＥ対応)</t>
  </si>
  <si>
    <t>ﾘﾊﾋﾞﾘﾏﾈｼﾞﾒﾝﾄ加算Ｂ22　(ＬＩＦＥ対応)</t>
  </si>
  <si>
    <r>
      <t>\613</t>
    </r>
    <r>
      <rPr>
        <sz val="11"/>
        <rFont val="ＭＳ Ｐゴシック"/>
        <family val="3"/>
      </rPr>
      <t>(月1回)</t>
    </r>
  </si>
  <si>
    <r>
      <t>\283</t>
    </r>
    <r>
      <rPr>
        <sz val="11"/>
        <rFont val="ＭＳ Ｐゴシック"/>
        <family val="3"/>
      </rPr>
      <t>(月1回)</t>
    </r>
  </si>
  <si>
    <r>
      <t>\892</t>
    </r>
    <r>
      <rPr>
        <sz val="11"/>
        <rFont val="ＭＳ Ｐゴシック"/>
        <family val="3"/>
      </rPr>
      <t>(月1回)</t>
    </r>
  </si>
  <si>
    <r>
      <t>\561</t>
    </r>
    <r>
      <rPr>
        <sz val="11"/>
        <rFont val="ＭＳ Ｐゴシック"/>
        <family val="3"/>
      </rPr>
      <t>(月1回)</t>
    </r>
  </si>
  <si>
    <t>科学的介護推進体制加算</t>
  </si>
  <si>
    <t>ﾘﾊﾋﾞﾘﾏﾈｼﾞﾒﾝﾄ加算Ａ11(6月以内）</t>
  </si>
  <si>
    <t>ﾘﾊﾋﾞﾘﾏﾈｼﾞﾒﾝﾄ加算Ａ21(6月以内）</t>
  </si>
  <si>
    <t>ﾘﾊﾋﾞﾘﾏﾈｼﾞﾒﾝﾄ加算Ｂ11(6月以内）</t>
  </si>
  <si>
    <t>ﾘﾊﾋﾞﾘﾏﾈｼﾞﾒﾝﾄ加算Ａ22　(6月超）</t>
  </si>
  <si>
    <t>ﾘﾊﾋﾞﾘﾏﾈｼﾞﾒﾝﾄ加算Ｂ12　(6月超）</t>
  </si>
  <si>
    <t>ﾘﾊﾋﾞﾘﾏﾈｼﾞﾒﾝﾄ加算Ａ12　(6月超）</t>
  </si>
  <si>
    <t>入浴介助サービス費Ⅱ</t>
  </si>
  <si>
    <t>リハマネジメント加算Ａ11</t>
  </si>
  <si>
    <t>リハマネジメント加算Ａ12</t>
  </si>
  <si>
    <t>リハマネジメント加算Ａ21</t>
  </si>
  <si>
    <t>リハマネジメント加算Ａ22</t>
  </si>
  <si>
    <t>リハマネジメント加算Ｂ11</t>
  </si>
  <si>
    <t>リハマネジメント加算Ｂ12</t>
  </si>
  <si>
    <t>リハマネジメント加算Ｂ21</t>
  </si>
  <si>
    <t>リハマネジメント加算Ｂ22</t>
  </si>
  <si>
    <r>
      <t>\2,573</t>
    </r>
    <r>
      <rPr>
        <sz val="11"/>
        <rFont val="ＭＳ Ｐゴシック"/>
        <family val="3"/>
      </rPr>
      <t>(月1回)</t>
    </r>
  </si>
  <si>
    <r>
      <t>\1,581</t>
    </r>
    <r>
      <rPr>
        <sz val="11"/>
        <rFont val="ＭＳ Ｐゴシック"/>
        <family val="3"/>
      </rPr>
      <t>(月1回)</t>
    </r>
  </si>
  <si>
    <r>
      <t>\1,226</t>
    </r>
    <r>
      <rPr>
        <sz val="11"/>
        <rFont val="ＭＳ Ｐゴシック"/>
        <family val="3"/>
      </rPr>
      <t>(月1回)</t>
    </r>
  </si>
  <si>
    <r>
      <t>\565</t>
    </r>
    <r>
      <rPr>
        <sz val="11"/>
        <rFont val="ＭＳ Ｐゴシック"/>
        <family val="3"/>
      </rPr>
      <t>(月1回)</t>
    </r>
  </si>
  <si>
    <r>
      <t>\１８３８</t>
    </r>
    <r>
      <rPr>
        <sz val="11"/>
        <rFont val="ＭＳ Ｐゴシック"/>
        <family val="3"/>
      </rPr>
      <t>(月1回)</t>
    </r>
  </si>
  <si>
    <r>
      <t>\847</t>
    </r>
    <r>
      <rPr>
        <sz val="11"/>
        <rFont val="ＭＳ Ｐゴシック"/>
        <family val="3"/>
      </rPr>
      <t>(月1回)</t>
    </r>
  </si>
  <si>
    <r>
      <t>\1,783</t>
    </r>
    <r>
      <rPr>
        <sz val="11"/>
        <rFont val="ＭＳ Ｐゴシック"/>
        <family val="3"/>
      </rPr>
      <t>(月1回)</t>
    </r>
  </si>
  <si>
    <r>
      <t>\1,122</t>
    </r>
    <r>
      <rPr>
        <sz val="11"/>
        <rFont val="ＭＳ Ｐゴシック"/>
        <family val="3"/>
      </rPr>
      <t>(月1回)</t>
    </r>
  </si>
  <si>
    <r>
      <t>\2,675</t>
    </r>
    <r>
      <rPr>
        <sz val="11"/>
        <rFont val="ＭＳ Ｐゴシック"/>
        <family val="3"/>
      </rPr>
      <t>(月1回)</t>
    </r>
  </si>
  <si>
    <r>
      <t>\1,683</t>
    </r>
    <r>
      <rPr>
        <sz val="11"/>
        <rFont val="ＭＳ Ｐゴシック"/>
        <family val="3"/>
      </rPr>
      <t>(月1回)</t>
    </r>
  </si>
  <si>
    <t>入浴介助加算1</t>
  </si>
  <si>
    <t>入浴介助加算2</t>
  </si>
  <si>
    <t>入浴加算Ⅰ</t>
  </si>
  <si>
    <t>入浴加算Ⅱ</t>
  </si>
  <si>
    <t>入浴加算Ⅰ</t>
  </si>
  <si>
    <t>入浴加算Ⅱ</t>
  </si>
  <si>
    <t xml:space="preserve"> ４円　 　　※1</t>
  </si>
  <si>
    <t xml:space="preserve"> １１円　　　※1</t>
  </si>
  <si>
    <t>　　安全対策体制加算　</t>
  </si>
  <si>
    <t xml:space="preserve"> ２１円　 　　　※１</t>
  </si>
  <si>
    <t xml:space="preserve"> ６２ 円　 　　　※１</t>
  </si>
  <si>
    <t xml:space="preserve"> ４２円　 　　　※１</t>
  </si>
  <si>
    <t xml:space="preserve"> ４円　　　※1</t>
  </si>
  <si>
    <t>２１円　　　※1</t>
  </si>
  <si>
    <t xml:space="preserve"> １０円　　　※1</t>
  </si>
  <si>
    <t>３１円　　　※1</t>
  </si>
  <si>
    <t>　　科学的介護推進体制加算</t>
  </si>
  <si>
    <t xml:space="preserve"> ４２円　　　 　※1</t>
  </si>
  <si>
    <t>８３円　 　 　※1</t>
  </si>
  <si>
    <t xml:space="preserve"> １２４円　　　　※1</t>
  </si>
  <si>
    <t>※3 　腎臓食、糖尿食、胃潰瘍食、貧血食、膵臓食、高脂血症食、痛風食等が必要な方。</t>
  </si>
  <si>
    <t xml:space="preserve">療養食（1日につき）　※3 </t>
  </si>
  <si>
    <t>税込：５5０円(税別：５００円）</t>
  </si>
  <si>
    <t xml:space="preserve">保険内 </t>
  </si>
  <si>
    <t>※3 　介護度3～5で以下の状態の方</t>
  </si>
  <si>
    <t>※4 　腎臓食・糖尿病食・胃潰瘍食・貧血食・膵臓食</t>
  </si>
  <si>
    <t>療養食(1日につき) ※４</t>
  </si>
  <si>
    <t>重度療養管理加算　※３　　</t>
  </si>
  <si>
    <t>※３　介護度3～5で以下の状態の方</t>
  </si>
  <si>
    <t>※４　腎臓食・糖尿病食・胃潰瘍食・貧血食・膵臓食</t>
  </si>
  <si>
    <t>※１　 介護保険サービス費には、夜勤職員配置加算(1割:25円/２割:50円/3割:74円)、サービス提供体制加算(1割:23円/２割:46円/3割:68円)</t>
  </si>
  <si>
    <r>
      <t>介護保険ｻｰﾋﾞｽ費</t>
    </r>
    <r>
      <rPr>
        <b/>
        <sz val="14"/>
        <rFont val="ＭＳ Ｐゴシック"/>
        <family val="3"/>
      </rPr>
      <t>※１</t>
    </r>
  </si>
  <si>
    <t>第3段階　※２</t>
  </si>
  <si>
    <t>第2段階　※2</t>
  </si>
  <si>
    <t>第1段階　※2</t>
  </si>
  <si>
    <t>※２　 介護福祉課で「介護保険負担限度額認定証」の申請をしていただき、事務所に提示して下さい。(詳しくは相談員までご相談下さい)</t>
  </si>
  <si>
    <t>第1段階　※２</t>
  </si>
  <si>
    <t>※１　介護保険サービス費には、夜勤職員配置加算(１割:25円/２割:50円/３割:74円)、サービス提供体制加算(１割:23円/２割:46円/３割:68円)　　　　　　　　　　　　　　　　　</t>
  </si>
  <si>
    <t>※２　 介護福祉課で「介護保険負担限度額認定証」の申請をしていただき、事務所に提示して下さい。(詳しくは相談員までご相談下さい)</t>
  </si>
  <si>
    <t>第3段階　※2</t>
  </si>
  <si>
    <t>ﾘﾊﾋﾞﾘﾏﾈｼﾞﾒﾝﾄ加算Ｂ21(6月以内）</t>
  </si>
  <si>
    <t>ﾘﾊﾋﾞﾘﾏﾈｼﾞﾒﾝﾄ加算Ｂ22　(6月超）</t>
  </si>
  <si>
    <t>1ヶ月合計　　　　 (30日間)</t>
  </si>
  <si>
    <t>1　割　負　担</t>
  </si>
  <si>
    <t>市民税世帯非課税で合計所得と課税年金収入の　　　合計が年８０万円以下の方</t>
  </si>
  <si>
    <t>①</t>
  </si>
  <si>
    <t>②</t>
  </si>
  <si>
    <t>②</t>
  </si>
  <si>
    <t>(2022年10月1日～改訂)</t>
  </si>
  <si>
    <t>(2022年10月1日～　改訂)</t>
  </si>
  <si>
    <t>介護職員等ベースアップ加算</t>
  </si>
  <si>
    <t>※２　 介護福祉課で「介護保険負担限度額認定証」の申請をしていただき、認定証を事務所に提示して下さい。(詳しくは相談員までご相談下さい)</t>
  </si>
  <si>
    <t>第2段階　※２</t>
  </si>
  <si>
    <t>介護職員等ベースアップ　加算</t>
  </si>
  <si>
    <t>介護職員等ベスアップ加算</t>
  </si>
  <si>
    <t>総単位合計の1.0％の金額</t>
  </si>
  <si>
    <t>介護職員等ベースアップ等支援加算</t>
  </si>
  <si>
    <t>介護職員等ベースアップ等支援加算※2</t>
  </si>
  <si>
    <t>介護職員処遇改善加算　／　月1回　※2</t>
  </si>
  <si>
    <t>介護職員特定処遇改善加算　／月1回　※2</t>
  </si>
  <si>
    <t>※3 腎臓食、糖尿食、胃潰瘍食、貧血食、膵臓食、高脂血症食、痛風食等が必要な方。</t>
  </si>
  <si>
    <t>※1　介護保険サービス費には、中重度ケア体制加算(21円)、サービス提供体制強化加算(23円)、</t>
  </si>
  <si>
    <t>ﾛ：呼吸器障害により人工呼吸器使用　　</t>
  </si>
  <si>
    <t>イ:常時頻回の喀痰吸引実施 　　　　</t>
  </si>
  <si>
    <t>※1　介護保険サービス費には、中重度ケア体制加算(2割:42円、3割:62円)、サービス提供体制強化加算(2割:46円、3割:69円)、</t>
  </si>
  <si>
    <t>イ:常時頻回の喀痰吸引実施 　</t>
  </si>
  <si>
    <t>1日合計　　　　　　（入浴なし)</t>
  </si>
  <si>
    <t>1日合計  　　　　　 (入浴Ⅰ)</t>
  </si>
  <si>
    <t>1日合計  　　　　　 (入浴Ⅱ)</t>
  </si>
  <si>
    <t>介護保険( 1割負担額)※1</t>
  </si>
  <si>
    <t>介護ｻｰﾋﾞｽ費　　　　　　　　　　　入浴介助加算Ⅰ</t>
  </si>
  <si>
    <t>介護ｻｰﾋﾞｽ費　　　　　　　　　　　入浴介助加算Ⅱ</t>
  </si>
  <si>
    <t>介護ｻｰﾋﾞｽ費　　　　　　　　　入浴なし</t>
  </si>
  <si>
    <t>介護保険( 3割負担額)※1</t>
  </si>
  <si>
    <t>介護ｻｰﾋﾞｽ費　</t>
  </si>
  <si>
    <t>介護ｻｰﾋﾞｽ費　　　　　　　　　　入浴介助加算Ⅰ</t>
  </si>
  <si>
    <t>介護保険( 2割負担額)※1</t>
  </si>
  <si>
    <t>介護職員処遇改善加算、介護職員特定処遇改善加算、介護職員等ベースアップ等支援加算が含まれています。</t>
  </si>
  <si>
    <t>介護職員処遇改善加算　／月1回　</t>
  </si>
  <si>
    <t>介護職員処遇改善加算　／　月1回　</t>
  </si>
  <si>
    <t>介護職員等ベースアップ等支援加算　／　月１回</t>
  </si>
  <si>
    <t>介護処遇改善加算、介護特定処遇改善加算、介護職員等ベースアップ等支援加算を含んでいます。</t>
  </si>
  <si>
    <t>介護職員処遇改善加算、介護職員特定処遇改善加算、介護職員等ベースアップ等支援加算を含みます。</t>
  </si>
  <si>
    <t>訪問リｈｓビリテーション費</t>
  </si>
  <si>
    <t>短期集中リハビリテーション加算</t>
  </si>
  <si>
    <t>訪問リハビリテーション(仮)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</si>
</sst>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quot;¥&quot;#,##0.0;[Red]&quot;¥&quot;\-#,##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
    <numFmt numFmtId="187" formatCode="0_);[Red]\(0\)"/>
    <numFmt numFmtId="188" formatCode="#&quot;円&quot;"/>
    <numFmt numFmtId="189" formatCode="##&quot;日&quot;&quot;間&quot;"/>
    <numFmt numFmtId="190" formatCode="00&quot;日&quot;&quot;間&quot;"/>
    <numFmt numFmtId="191" formatCode="0_ ;[Red]\-0\ "/>
  </numFmts>
  <fonts count="54">
    <font>
      <sz val="11"/>
      <name val="ＭＳ Ｐゴシック"/>
      <family val="3"/>
    </font>
    <font>
      <sz val="11"/>
      <color indexed="8"/>
      <name val="ＭＳ Ｐゴシック"/>
      <family val="3"/>
    </font>
    <font>
      <sz val="6"/>
      <name val="ＭＳ Ｐゴシック"/>
      <family val="3"/>
    </font>
    <font>
      <b/>
      <sz val="12"/>
      <name val="ＭＳ Ｐ明朝"/>
      <family val="1"/>
    </font>
    <font>
      <b/>
      <sz val="16"/>
      <name val="ＭＳ Ｐ明朝"/>
      <family val="1"/>
    </font>
    <font>
      <b/>
      <sz val="12"/>
      <name val="ＭＳ Ｐゴシック"/>
      <family val="3"/>
    </font>
    <font>
      <b/>
      <sz val="11"/>
      <name val="ＭＳ Ｐゴシック"/>
      <family val="3"/>
    </font>
    <font>
      <sz val="10"/>
      <name val="ＭＳ Ｐゴシック"/>
      <family val="3"/>
    </font>
    <font>
      <sz val="12"/>
      <name val="ＭＳ Ｐゴシック"/>
      <family val="3"/>
    </font>
    <font>
      <b/>
      <sz val="14"/>
      <name val="ＭＳ Ｐゴシック"/>
      <family val="3"/>
    </font>
    <font>
      <b/>
      <sz val="16"/>
      <name val="ＭＳ Ｐゴシック"/>
      <family val="3"/>
    </font>
    <font>
      <sz val="14"/>
      <name val="ＭＳ Ｐゴシック"/>
      <family val="3"/>
    </font>
    <font>
      <b/>
      <sz val="18"/>
      <name val="ＭＳ Ｐゴシック"/>
      <family val="3"/>
    </font>
    <font>
      <sz val="18"/>
      <name val="ＭＳ Ｐゴシック"/>
      <family val="3"/>
    </font>
    <font>
      <b/>
      <sz val="10"/>
      <name val="ＭＳ Ｐゴシック"/>
      <family val="3"/>
    </font>
    <font>
      <sz val="16"/>
      <name val="ＭＳ Ｐゴシック"/>
      <family val="3"/>
    </font>
    <font>
      <sz val="22"/>
      <name val="ＭＳ Ｐゴシック"/>
      <family val="3"/>
    </font>
    <font>
      <sz val="9"/>
      <name val="ＭＳ Ｐゴシック"/>
      <family val="3"/>
    </font>
    <font>
      <sz val="8"/>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CCECFF"/>
        <bgColor indexed="64"/>
      </patternFill>
    </fill>
    <fill>
      <patternFill patternType="solid">
        <fgColor rgb="FFCCFFCC"/>
        <bgColor indexed="64"/>
      </patternFill>
    </fill>
    <fill>
      <patternFill patternType="solid">
        <fgColor rgb="FF99FF99"/>
        <bgColor indexed="64"/>
      </patternFill>
    </fill>
    <fill>
      <patternFill patternType="solid">
        <fgColor indexed="31"/>
        <bgColor indexed="64"/>
      </patternFill>
    </fill>
    <fill>
      <patternFill patternType="solid">
        <fgColor indexed="22"/>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medium"/>
    </border>
    <border>
      <left style="double"/>
      <right style="medium"/>
      <top style="thin"/>
      <bottom style="thin"/>
    </border>
    <border>
      <left style="thin"/>
      <right style="thin"/>
      <top style="thin"/>
      <bottom style="thin"/>
    </border>
    <border>
      <left style="double"/>
      <right style="medium"/>
      <top style="thin"/>
      <bottom style="medium"/>
    </border>
    <border>
      <left style="double"/>
      <right style="medium"/>
      <top>
        <color indexed="63"/>
      </top>
      <bottom style="thin"/>
    </border>
    <border>
      <left style="medium"/>
      <right style="double"/>
      <top style="medium"/>
      <bottom style="double"/>
    </border>
    <border>
      <left style="double"/>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style="medium"/>
      <right style="double"/>
      <top style="thin"/>
      <bottom style="thin"/>
    </border>
    <border>
      <left>
        <color indexed="63"/>
      </left>
      <right style="medium"/>
      <top style="thin"/>
      <bottom style="thin"/>
    </border>
    <border>
      <left style="thin"/>
      <right>
        <color indexed="63"/>
      </right>
      <top style="thin"/>
      <bottom style="thin"/>
    </border>
    <border diagonalUp="1">
      <left style="double"/>
      <right style="thin"/>
      <top style="thin"/>
      <bottom style="thin"/>
      <diagonal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style="medium"/>
      <right style="double"/>
      <top style="thin"/>
      <bottom>
        <color indexed="63"/>
      </bottom>
    </border>
    <border>
      <left style="medium"/>
      <right style="double"/>
      <top style="thin"/>
      <bottom style="medium"/>
    </border>
    <border>
      <left style="medium"/>
      <right style="thin"/>
      <top>
        <color indexed="63"/>
      </top>
      <bottom style="thin"/>
    </border>
    <border>
      <left style="medium"/>
      <right style="thin"/>
      <top>
        <color indexed="63"/>
      </top>
      <bottom style="medium"/>
    </border>
    <border>
      <left>
        <color indexed="63"/>
      </left>
      <right>
        <color indexed="63"/>
      </right>
      <top style="medium"/>
      <bottom style="double"/>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double"/>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thin"/>
      <top style="medium"/>
      <bottom style="thin"/>
    </border>
    <border>
      <left style="thin"/>
      <right style="medium"/>
      <top>
        <color indexed="63"/>
      </top>
      <bottom style="thin"/>
    </border>
    <border>
      <left style="thin"/>
      <right style="medium"/>
      <top style="thin"/>
      <bottom style="medium"/>
    </border>
    <border>
      <left>
        <color indexed="63"/>
      </left>
      <right style="medium"/>
      <top>
        <color indexed="63"/>
      </top>
      <bottom style="medium"/>
    </border>
    <border>
      <left style="double"/>
      <right style="thin"/>
      <top style="double"/>
      <bottom>
        <color indexed="63"/>
      </bottom>
    </border>
    <border>
      <left style="double"/>
      <right style="medium"/>
      <top style="thin"/>
      <bottom>
        <color indexed="63"/>
      </bottom>
    </border>
    <border>
      <left style="double"/>
      <right style="thin"/>
      <top style="thin"/>
      <bottom style="thin"/>
    </border>
    <border>
      <left style="thin"/>
      <right style="thin"/>
      <top style="thin"/>
      <bottom>
        <color indexed="63"/>
      </bottom>
    </border>
    <border>
      <left style="double"/>
      <right>
        <color indexed="63"/>
      </right>
      <top style="thin"/>
      <bottom style="thin"/>
    </border>
    <border>
      <left style="thin"/>
      <right style="thin"/>
      <top style="medium"/>
      <bottom>
        <color indexed="63"/>
      </bottom>
    </border>
    <border>
      <left style="medium"/>
      <right style="medium"/>
      <top style="medium"/>
      <bottom style="medium"/>
    </border>
    <border>
      <left style="thin"/>
      <right style="medium"/>
      <top style="medium"/>
      <bottom>
        <color indexed="63"/>
      </bottom>
    </border>
    <border>
      <left style="thin"/>
      <right style="medium"/>
      <top style="medium"/>
      <bottom style="thin"/>
    </border>
    <border>
      <left style="thin"/>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style="medium"/>
      <bottom style="medium"/>
    </border>
    <border>
      <left style="thin"/>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double"/>
      <top style="thin"/>
      <bottom style="thin"/>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style="thin"/>
      <right style="double"/>
      <top style="thin"/>
      <bottom style="thin"/>
      <diagonal style="thin"/>
    </border>
    <border>
      <left style="medium"/>
      <right style="double"/>
      <top>
        <color indexed="63"/>
      </top>
      <bottom>
        <color indexed="63"/>
      </bottom>
    </border>
    <border>
      <left>
        <color indexed="63"/>
      </left>
      <right style="medium"/>
      <top>
        <color indexed="63"/>
      </top>
      <bottom style="thin"/>
    </border>
    <border>
      <left>
        <color indexed="63"/>
      </left>
      <right>
        <color indexed="63"/>
      </right>
      <top style="medium"/>
      <bottom style="thin"/>
    </border>
    <border diagonalUp="1">
      <left style="thin"/>
      <right style="double"/>
      <top>
        <color indexed="63"/>
      </top>
      <bottom style="thin"/>
      <diagonal style="thin"/>
    </border>
    <border>
      <left>
        <color indexed="63"/>
      </left>
      <right>
        <color indexed="63"/>
      </right>
      <top style="thin"/>
      <bottom>
        <color indexed="63"/>
      </bottom>
    </border>
    <border diagonalUp="1">
      <left style="thin"/>
      <right style="double"/>
      <top style="thin"/>
      <bottom>
        <color indexed="63"/>
      </bottom>
      <diagonal style="thin"/>
    </border>
    <border>
      <left style="medium"/>
      <right>
        <color indexed="63"/>
      </right>
      <top style="medium"/>
      <bottom style="medium"/>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style="double"/>
      <right>
        <color indexed="63"/>
      </right>
      <top style="double"/>
      <bottom style="double"/>
    </border>
    <border>
      <left>
        <color indexed="63"/>
      </left>
      <right>
        <color indexed="63"/>
      </right>
      <top style="double"/>
      <bottom style="double"/>
    </border>
    <border>
      <left style="double"/>
      <right style="thin"/>
      <top>
        <color indexed="63"/>
      </top>
      <bottom style="double"/>
    </border>
    <border>
      <left style="thin"/>
      <right style="thin"/>
      <top>
        <color indexed="63"/>
      </top>
      <bottom style="double"/>
    </border>
    <border>
      <left style="thin"/>
      <right style="medium"/>
      <top>
        <color indexed="63"/>
      </top>
      <bottom style="double"/>
    </border>
    <border>
      <left style="thin"/>
      <right style="double"/>
      <top style="double"/>
      <bottom style="thin"/>
    </border>
    <border>
      <left style="double"/>
      <right style="thin"/>
      <top>
        <color indexed="63"/>
      </top>
      <bottom style="thin"/>
    </border>
    <border>
      <left style="double"/>
      <right style="double"/>
      <top style="double"/>
      <bottom style="double"/>
    </border>
    <border>
      <left style="double"/>
      <right style="thin"/>
      <top style="double"/>
      <bottom style="thin"/>
    </border>
    <border>
      <left style="thin"/>
      <right>
        <color indexed="63"/>
      </right>
      <top>
        <color indexed="63"/>
      </top>
      <bottom>
        <color indexed="63"/>
      </bottom>
    </border>
    <border>
      <left style="medium"/>
      <right style="thin"/>
      <top style="medium"/>
      <bottom style="medium"/>
    </border>
    <border>
      <left>
        <color indexed="63"/>
      </left>
      <right style="thin"/>
      <top>
        <color indexed="63"/>
      </top>
      <bottom style="medium"/>
    </border>
    <border>
      <left>
        <color indexed="63"/>
      </left>
      <right style="thin"/>
      <top>
        <color indexed="63"/>
      </top>
      <bottom>
        <color indexed="63"/>
      </bottom>
    </border>
    <border>
      <left style="double"/>
      <right style="thin"/>
      <top style="thin"/>
      <bottom>
        <color indexed="63"/>
      </bottom>
    </border>
    <border>
      <left style="medium"/>
      <right>
        <color indexed="63"/>
      </right>
      <top style="medium"/>
      <bottom style="thin"/>
    </border>
    <border>
      <left>
        <color indexed="63"/>
      </left>
      <right>
        <color indexed="63"/>
      </right>
      <top style="medium"/>
      <bottom style="medium"/>
    </border>
    <border>
      <left>
        <color indexed="63"/>
      </left>
      <right style="medium"/>
      <top style="medium"/>
      <bottom style="double"/>
    </border>
    <border>
      <left style="thin"/>
      <right>
        <color indexed="63"/>
      </right>
      <top style="double"/>
      <bottom style="thin"/>
    </border>
    <border>
      <left style="thin"/>
      <right style="thin"/>
      <top style="double"/>
      <bottom style="thin"/>
    </border>
    <border>
      <left style="thin"/>
      <right style="medium"/>
      <top style="double"/>
      <bottom style="thin"/>
    </border>
    <border>
      <left style="medium"/>
      <right style="thin"/>
      <top style="medium"/>
      <bottom style="double"/>
    </border>
    <border>
      <left style="thin"/>
      <right style="medium"/>
      <top style="thin"/>
      <bottom>
        <color indexed="63"/>
      </bottom>
    </border>
    <border>
      <left>
        <color indexed="63"/>
      </left>
      <right>
        <color indexed="63"/>
      </right>
      <top style="thin"/>
      <bottom style="double"/>
    </border>
    <border>
      <left>
        <color indexed="63"/>
      </left>
      <right style="thin"/>
      <top style="medium"/>
      <bottom>
        <color indexed="63"/>
      </bottom>
    </border>
    <border>
      <left style="thin"/>
      <right style="thin"/>
      <top style="medium"/>
      <bottom style="medium"/>
    </border>
    <border>
      <left style="double"/>
      <right style="medium"/>
      <top style="medium"/>
      <bottom>
        <color indexed="63"/>
      </bottom>
    </border>
    <border>
      <left style="medium"/>
      <right style="medium"/>
      <top style="thin"/>
      <bottom style="thin"/>
    </border>
    <border>
      <left style="medium"/>
      <right>
        <color indexed="63"/>
      </right>
      <top style="thin"/>
      <bottom style="double"/>
    </border>
    <border>
      <left style="thin"/>
      <right style="thin"/>
      <top>
        <color indexed="63"/>
      </top>
      <bottom style="medium"/>
    </border>
    <border>
      <left style="medium"/>
      <right style="thin"/>
      <top style="thin"/>
      <bottom>
        <color indexed="63"/>
      </bottom>
    </border>
    <border>
      <left style="thin"/>
      <right>
        <color indexed="63"/>
      </right>
      <top style="medium"/>
      <bottom style="medium"/>
    </border>
    <border>
      <left style="double"/>
      <right style="medium"/>
      <top style="medium"/>
      <bottom style="medium"/>
    </border>
    <border>
      <left style="double"/>
      <right>
        <color indexed="63"/>
      </right>
      <top style="thin"/>
      <bottom style="medium"/>
    </border>
    <border>
      <left style="medium"/>
      <right style="medium"/>
      <top style="thin"/>
      <bottom style="medium"/>
    </border>
    <border>
      <left style="medium"/>
      <right>
        <color indexed="63"/>
      </right>
      <top style="medium"/>
      <bottom style="double"/>
    </border>
    <border>
      <left>
        <color indexed="63"/>
      </left>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color indexed="63"/>
      </left>
      <right style="thin"/>
      <top style="thin"/>
      <bottom>
        <color indexed="63"/>
      </bottom>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style="thin"/>
      <right style="double"/>
      <top style="thin"/>
      <bottom>
        <color indexed="63"/>
      </bottom>
    </border>
    <border>
      <left style="thin"/>
      <right style="double"/>
      <top>
        <color indexed="63"/>
      </top>
      <bottom style="medium"/>
    </border>
    <border>
      <left>
        <color indexed="63"/>
      </left>
      <right style="thin"/>
      <top style="medium"/>
      <bottom style="medium"/>
    </border>
    <border>
      <left style="thin"/>
      <right style="medium"/>
      <top>
        <color indexed="63"/>
      </top>
      <bottom style="medium"/>
    </border>
    <border>
      <left style="medium"/>
      <right>
        <color indexed="63"/>
      </right>
      <top>
        <color indexed="63"/>
      </top>
      <bottom style="medium"/>
    </border>
    <border>
      <left style="double"/>
      <right style="medium"/>
      <top>
        <color indexed="63"/>
      </top>
      <bottom>
        <color indexed="63"/>
      </bottom>
    </border>
    <border>
      <left style="double"/>
      <right style="medium"/>
      <top>
        <color indexed="63"/>
      </top>
      <bottom style="medium"/>
    </border>
    <border>
      <left style="medium"/>
      <right style="medium"/>
      <top style="thin"/>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color indexed="63"/>
      </left>
      <right style="double"/>
      <top style="thin"/>
      <bottom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color indexed="63"/>
      </left>
      <right style="double"/>
      <top style="medium"/>
      <bottom style="medium"/>
    </border>
    <border>
      <left>
        <color indexed="63"/>
      </left>
      <right>
        <color indexed="63"/>
      </right>
      <top style="double"/>
      <bottom style="thin"/>
    </border>
    <border>
      <left>
        <color indexed="63"/>
      </left>
      <right style="medium"/>
      <top style="double"/>
      <bottom style="thin"/>
    </border>
    <border>
      <left>
        <color indexed="63"/>
      </left>
      <right style="thin"/>
      <top style="medium"/>
      <bottom style="double"/>
    </border>
    <border>
      <left style="medium"/>
      <right>
        <color indexed="63"/>
      </right>
      <top style="double"/>
      <bottom style="thin"/>
    </border>
    <border>
      <left style="medium"/>
      <right>
        <color indexed="63"/>
      </right>
      <top style="thin"/>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style="thin"/>
      <bottom style="double"/>
    </border>
    <border>
      <left>
        <color indexed="63"/>
      </left>
      <right style="medium"/>
      <top style="thin"/>
      <bottom style="double"/>
    </border>
    <border>
      <left>
        <color indexed="63"/>
      </left>
      <right style="thin"/>
      <top style="thin"/>
      <bottom style="double"/>
    </border>
    <border>
      <left>
        <color indexed="63"/>
      </left>
      <right style="thin"/>
      <top style="double"/>
      <bottom style="thin"/>
    </border>
    <border>
      <left style="thin"/>
      <right>
        <color indexed="63"/>
      </right>
      <top style="medium"/>
      <bottom style="double"/>
    </border>
    <border>
      <left style="medium"/>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73">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shrinkToFit="1"/>
    </xf>
    <xf numFmtId="0" fontId="5"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8"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8" fillId="0" borderId="10" xfId="0" applyFont="1" applyBorder="1" applyAlignment="1">
      <alignment horizontal="center" vertical="center" shrinkToFit="1"/>
    </xf>
    <xf numFmtId="6" fontId="8" fillId="0" borderId="12" xfId="58" applyFont="1" applyBorder="1" applyAlignment="1">
      <alignment vertical="center"/>
    </xf>
    <xf numFmtId="0" fontId="8" fillId="0" borderId="13" xfId="0" applyFont="1" applyBorder="1" applyAlignment="1">
      <alignment horizontal="center" vertical="center" shrinkToFit="1"/>
    </xf>
    <xf numFmtId="0" fontId="8" fillId="0" borderId="11" xfId="0" applyFont="1" applyBorder="1" applyAlignment="1">
      <alignment horizontal="center" vertical="center" shrinkToFit="1"/>
    </xf>
    <xf numFmtId="6" fontId="8" fillId="0" borderId="14" xfId="58" applyFont="1" applyBorder="1" applyAlignment="1">
      <alignment vertical="center"/>
    </xf>
    <xf numFmtId="6" fontId="8" fillId="0" borderId="15" xfId="58" applyFont="1" applyBorder="1" applyAlignment="1">
      <alignment vertical="center"/>
    </xf>
    <xf numFmtId="0" fontId="11"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6" fillId="0" borderId="16" xfId="0" applyFont="1" applyBorder="1" applyAlignment="1">
      <alignment horizontal="center" vertical="center"/>
    </xf>
    <xf numFmtId="0" fontId="6" fillId="33"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5"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6" xfId="0" applyFill="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center" vertical="center"/>
    </xf>
    <xf numFmtId="0" fontId="8" fillId="0" borderId="0" xfId="0" applyFont="1" applyFill="1" applyBorder="1" applyAlignment="1">
      <alignment vertical="center"/>
    </xf>
    <xf numFmtId="0" fontId="0" fillId="0" borderId="29" xfId="0" applyBorder="1" applyAlignment="1">
      <alignment horizontal="center" vertical="center"/>
    </xf>
    <xf numFmtId="0" fontId="7" fillId="0" borderId="0" xfId="0" applyFont="1" applyAlignment="1">
      <alignment vertical="center"/>
    </xf>
    <xf numFmtId="0" fontId="0" fillId="0" borderId="0" xfId="0" applyAlignment="1">
      <alignment horizontal="right" vertical="center"/>
    </xf>
    <xf numFmtId="0" fontId="9" fillId="0" borderId="0" xfId="0" applyFont="1" applyAlignment="1">
      <alignment vertical="center"/>
    </xf>
    <xf numFmtId="0" fontId="12" fillId="0" borderId="0" xfId="0" applyFont="1" applyAlignment="1">
      <alignmen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0" xfId="0" applyBorder="1" applyAlignment="1">
      <alignment horizontal="center" vertical="center" shrinkToFit="1"/>
    </xf>
    <xf numFmtId="6" fontId="0" fillId="0" borderId="0" xfId="58" applyFont="1" applyBorder="1" applyAlignment="1">
      <alignment vertical="center"/>
    </xf>
    <xf numFmtId="6" fontId="0" fillId="0" borderId="0" xfId="58" applyFont="1" applyBorder="1" applyAlignment="1">
      <alignment horizontal="center" vertical="center"/>
    </xf>
    <xf numFmtId="6" fontId="0" fillId="0" borderId="0" xfId="58" applyFont="1" applyBorder="1" applyAlignment="1">
      <alignment vertical="center"/>
    </xf>
    <xf numFmtId="6" fontId="0" fillId="0" borderId="0" xfId="0" applyNumberFormat="1" applyBorder="1" applyAlignment="1">
      <alignment vertical="center"/>
    </xf>
    <xf numFmtId="0" fontId="5" fillId="0" borderId="0" xfId="0" applyFont="1" applyFill="1" applyAlignment="1">
      <alignment vertical="center"/>
    </xf>
    <xf numFmtId="0" fontId="0" fillId="0" borderId="32" xfId="0"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horizontal="left" vertical="center"/>
    </xf>
    <xf numFmtId="0" fontId="0" fillId="0" borderId="0" xfId="0" applyFill="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0" fillId="0" borderId="0" xfId="0" applyAlignment="1">
      <alignment horizontal="left" vertical="center"/>
    </xf>
    <xf numFmtId="0" fontId="0" fillId="36" borderId="0" xfId="0" applyFill="1" applyBorder="1" applyAlignment="1">
      <alignment horizontal="center" vertical="center"/>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0" xfId="0" applyBorder="1" applyAlignment="1">
      <alignment vertical="center"/>
    </xf>
    <xf numFmtId="10" fontId="13" fillId="0" borderId="0" xfId="0" applyNumberFormat="1" applyFont="1" applyAlignment="1">
      <alignment vertical="center"/>
    </xf>
    <xf numFmtId="6" fontId="8" fillId="0" borderId="37" xfId="58" applyFont="1" applyBorder="1" applyAlignment="1">
      <alignment vertical="center"/>
    </xf>
    <xf numFmtId="0" fontId="0" fillId="0" borderId="0" xfId="0" applyFont="1" applyAlignment="1">
      <alignment vertical="center"/>
    </xf>
    <xf numFmtId="0" fontId="0" fillId="0" borderId="38" xfId="0" applyBorder="1" applyAlignment="1">
      <alignment horizontal="center" vertical="center"/>
    </xf>
    <xf numFmtId="0" fontId="0" fillId="0" borderId="21" xfId="0" applyBorder="1" applyAlignment="1">
      <alignment vertical="center"/>
    </xf>
    <xf numFmtId="0" fontId="6" fillId="0" borderId="39" xfId="0" applyFont="1" applyFill="1" applyBorder="1" applyAlignment="1">
      <alignment horizontal="center" vertical="center"/>
    </xf>
    <xf numFmtId="6" fontId="0" fillId="0" borderId="40" xfId="58" applyFont="1" applyBorder="1" applyAlignment="1">
      <alignment horizontal="center" vertical="center" wrapText="1"/>
    </xf>
    <xf numFmtId="0" fontId="5" fillId="0" borderId="32"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6" fontId="0" fillId="0" borderId="11" xfId="58" applyFont="1" applyBorder="1" applyAlignment="1">
      <alignment horizontal="center" vertical="center" wrapText="1"/>
    </xf>
    <xf numFmtId="6" fontId="0" fillId="0" borderId="13" xfId="58" applyFont="1" applyBorder="1" applyAlignment="1">
      <alignment horizontal="center" vertical="center" wrapText="1"/>
    </xf>
    <xf numFmtId="0" fontId="0" fillId="0" borderId="11" xfId="0" applyBorder="1" applyAlignment="1">
      <alignment horizontal="center" vertical="center" wrapText="1"/>
    </xf>
    <xf numFmtId="0" fontId="0" fillId="0" borderId="41" xfId="0"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shrinkToFit="1"/>
    </xf>
    <xf numFmtId="0" fontId="8" fillId="0" borderId="0" xfId="0" applyFont="1" applyFill="1" applyBorder="1" applyAlignment="1">
      <alignment vertical="center" shrinkToFit="1"/>
    </xf>
    <xf numFmtId="0" fontId="7" fillId="0" borderId="0" xfId="0" applyFont="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center" vertical="center"/>
    </xf>
    <xf numFmtId="0" fontId="0" fillId="0" borderId="34"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1" fillId="0" borderId="0" xfId="0" applyFont="1" applyBorder="1" applyAlignment="1">
      <alignment horizontal="center" vertical="center"/>
    </xf>
    <xf numFmtId="0" fontId="8" fillId="0" borderId="34"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34" xfId="0" applyFill="1" applyBorder="1" applyAlignment="1">
      <alignment horizontal="left" vertical="center"/>
    </xf>
    <xf numFmtId="0" fontId="14" fillId="0" borderId="0" xfId="0" applyFont="1" applyAlignment="1">
      <alignment vertical="center"/>
    </xf>
    <xf numFmtId="0" fontId="14" fillId="0" borderId="0" xfId="0" applyFont="1" applyAlignment="1">
      <alignment vertical="center"/>
    </xf>
    <xf numFmtId="0" fontId="7" fillId="0" borderId="0" xfId="0" applyFont="1" applyAlignment="1">
      <alignment horizontal="center" vertical="center"/>
    </xf>
    <xf numFmtId="6" fontId="6" fillId="0" borderId="42" xfId="58" applyFont="1" applyFill="1" applyBorder="1" applyAlignment="1">
      <alignment vertical="center" shrinkToFit="1"/>
    </xf>
    <xf numFmtId="0" fontId="12" fillId="0" borderId="0" xfId="0" applyFont="1" applyBorder="1" applyAlignment="1">
      <alignment vertical="center"/>
    </xf>
    <xf numFmtId="0" fontId="0" fillId="0" borderId="0" xfId="0" applyNumberFormat="1" applyAlignment="1">
      <alignment vertical="center"/>
    </xf>
    <xf numFmtId="10"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38" xfId="0" applyFont="1" applyBorder="1" applyAlignment="1">
      <alignment vertical="center" wrapText="1"/>
    </xf>
    <xf numFmtId="0" fontId="0" fillId="0" borderId="43" xfId="0" applyBorder="1" applyAlignment="1">
      <alignment horizontal="center" vertical="center" shrinkToFit="1"/>
    </xf>
    <xf numFmtId="0" fontId="3" fillId="0" borderId="0" xfId="0" applyFont="1" applyAlignment="1">
      <alignment horizontal="center" vertical="center"/>
    </xf>
    <xf numFmtId="0" fontId="8" fillId="0" borderId="0" xfId="0" applyFont="1" applyAlignment="1">
      <alignment horizontal="center" vertical="center"/>
    </xf>
    <xf numFmtId="6" fontId="15" fillId="0" borderId="44" xfId="58" applyNumberFormat="1" applyFont="1" applyBorder="1" applyAlignment="1">
      <alignment horizontal="center" vertical="center"/>
    </xf>
    <xf numFmtId="6" fontId="15" fillId="0" borderId="34" xfId="58" applyNumberFormat="1" applyFont="1" applyBorder="1" applyAlignment="1">
      <alignment vertical="center"/>
    </xf>
    <xf numFmtId="0" fontId="7" fillId="0" borderId="34" xfId="0" applyFont="1" applyBorder="1" applyAlignment="1">
      <alignment vertical="center" wrapText="1"/>
    </xf>
    <xf numFmtId="6" fontId="15" fillId="0" borderId="45" xfId="58" applyNumberFormat="1" applyFont="1" applyBorder="1" applyAlignment="1">
      <alignment horizontal="center" vertical="center"/>
    </xf>
    <xf numFmtId="6" fontId="15" fillId="0" borderId="42" xfId="58" applyNumberFormat="1" applyFont="1" applyBorder="1" applyAlignment="1">
      <alignment horizontal="center" vertical="center"/>
    </xf>
    <xf numFmtId="0" fontId="0" fillId="0" borderId="46" xfId="0" applyBorder="1" applyAlignment="1">
      <alignment vertical="center" wrapText="1"/>
    </xf>
    <xf numFmtId="0" fontId="0" fillId="0" borderId="47" xfId="0" applyFill="1" applyBorder="1" applyAlignment="1">
      <alignment horizontal="center" vertical="center"/>
    </xf>
    <xf numFmtId="6" fontId="8" fillId="0" borderId="48" xfId="58" applyFont="1" applyBorder="1" applyAlignment="1">
      <alignment vertical="center"/>
    </xf>
    <xf numFmtId="0" fontId="7" fillId="0" borderId="49" xfId="0" applyFont="1" applyFill="1" applyBorder="1" applyAlignment="1">
      <alignment horizontal="center" vertical="center" wrapText="1"/>
    </xf>
    <xf numFmtId="0" fontId="8" fillId="0" borderId="0" xfId="0" applyFont="1" applyBorder="1" applyAlignment="1">
      <alignment horizontal="center" vertical="center"/>
    </xf>
    <xf numFmtId="6" fontId="0" fillId="0" borderId="0" xfId="58" applyNumberFormat="1" applyFont="1" applyBorder="1" applyAlignment="1">
      <alignment vertical="center"/>
    </xf>
    <xf numFmtId="6" fontId="16" fillId="0" borderId="50" xfId="58" applyNumberFormat="1" applyFont="1" applyBorder="1" applyAlignment="1">
      <alignment horizontal="center" vertical="center"/>
    </xf>
    <xf numFmtId="6" fontId="16" fillId="0" borderId="13" xfId="58" applyNumberFormat="1" applyFont="1" applyBorder="1" applyAlignment="1">
      <alignment horizontal="center" vertical="center"/>
    </xf>
    <xf numFmtId="6" fontId="8" fillId="0" borderId="49" xfId="58" applyNumberFormat="1" applyFont="1" applyBorder="1" applyAlignment="1">
      <alignment horizontal="center" vertical="center"/>
    </xf>
    <xf numFmtId="6" fontId="8" fillId="0" borderId="51" xfId="58" applyNumberFormat="1" applyFont="1" applyBorder="1" applyAlignment="1">
      <alignment horizontal="center" vertical="center"/>
    </xf>
    <xf numFmtId="6" fontId="0" fillId="0" borderId="52" xfId="58" applyFont="1" applyBorder="1" applyAlignment="1">
      <alignment horizontal="center" vertical="center" wrapText="1"/>
    </xf>
    <xf numFmtId="186" fontId="15" fillId="0" borderId="53" xfId="0" applyNumberFormat="1" applyFont="1" applyBorder="1" applyAlignment="1">
      <alignment vertical="center"/>
    </xf>
    <xf numFmtId="6" fontId="15" fillId="0" borderId="54" xfId="58" applyNumberFormat="1" applyFont="1" applyBorder="1" applyAlignment="1">
      <alignment horizontal="center" vertical="center"/>
    </xf>
    <xf numFmtId="0" fontId="0" fillId="0" borderId="10" xfId="0" applyFill="1" applyBorder="1" applyAlignment="1">
      <alignment horizontal="center" vertical="center" shrinkToFit="1"/>
    </xf>
    <xf numFmtId="6" fontId="0" fillId="0" borderId="52" xfId="58" applyFont="1" applyFill="1" applyBorder="1" applyAlignment="1">
      <alignment vertical="center"/>
    </xf>
    <xf numFmtId="6" fontId="6" fillId="0" borderId="55" xfId="58" applyFont="1" applyFill="1" applyBorder="1" applyAlignment="1">
      <alignment vertical="center" shrinkToFit="1"/>
    </xf>
    <xf numFmtId="6" fontId="0" fillId="0" borderId="13" xfId="58" applyFont="1" applyFill="1" applyBorder="1" applyAlignment="1">
      <alignment vertical="center"/>
    </xf>
    <xf numFmtId="0" fontId="0" fillId="0" borderId="11" xfId="0" applyFill="1" applyBorder="1" applyAlignment="1">
      <alignment horizontal="center" vertical="center" shrinkToFit="1"/>
    </xf>
    <xf numFmtId="6" fontId="6" fillId="0" borderId="45" xfId="58" applyFont="1" applyFill="1" applyBorder="1" applyAlignment="1">
      <alignment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6" fontId="15" fillId="0" borderId="58" xfId="58" applyNumberFormat="1" applyFont="1" applyBorder="1" applyAlignment="1">
      <alignment horizontal="center" vertical="center"/>
    </xf>
    <xf numFmtId="0" fontId="15" fillId="0" borderId="59" xfId="0" applyFont="1" applyBorder="1" applyAlignment="1">
      <alignment vertical="center"/>
    </xf>
    <xf numFmtId="9" fontId="15" fillId="0" borderId="59" xfId="0" applyNumberFormat="1" applyFont="1" applyBorder="1" applyAlignment="1">
      <alignment vertical="center"/>
    </xf>
    <xf numFmtId="6" fontId="15" fillId="0" borderId="38" xfId="58" applyNumberFormat="1" applyFont="1" applyBorder="1" applyAlignment="1">
      <alignment horizontal="center" vertical="center"/>
    </xf>
    <xf numFmtId="0" fontId="0" fillId="0" borderId="0" xfId="0" applyBorder="1" applyAlignment="1">
      <alignment horizontal="center" vertical="center" textRotation="255"/>
    </xf>
    <xf numFmtId="0" fontId="0" fillId="0" borderId="60" xfId="0" applyBorder="1" applyAlignment="1">
      <alignment horizontal="center" vertical="center" shrinkToFit="1"/>
    </xf>
    <xf numFmtId="0" fontId="6" fillId="0" borderId="0" xfId="0" applyFont="1" applyBorder="1" applyAlignment="1">
      <alignment horizontal="center" vertical="center" shrinkToFit="1"/>
    </xf>
    <xf numFmtId="0" fontId="0" fillId="0" borderId="39" xfId="0" applyBorder="1" applyAlignment="1">
      <alignment horizontal="center" vertical="center" shrinkToFit="1"/>
    </xf>
    <xf numFmtId="0" fontId="15" fillId="0" borderId="39" xfId="0" applyFont="1" applyBorder="1" applyAlignment="1">
      <alignment vertical="center" shrinkToFit="1"/>
    </xf>
    <xf numFmtId="0" fontId="15" fillId="0" borderId="61"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59" xfId="0" applyNumberFormat="1" applyFont="1" applyBorder="1" applyAlignment="1">
      <alignment vertical="center"/>
    </xf>
    <xf numFmtId="0" fontId="0" fillId="0" borderId="20" xfId="0" applyFill="1" applyBorder="1" applyAlignment="1">
      <alignment horizontal="center" vertical="center"/>
    </xf>
    <xf numFmtId="0" fontId="8" fillId="37" borderId="62" xfId="0" applyFont="1" applyFill="1" applyBorder="1" applyAlignment="1">
      <alignment horizontal="center" vertical="center"/>
    </xf>
    <xf numFmtId="0" fontId="8" fillId="0" borderId="63" xfId="0" applyFont="1" applyBorder="1" applyAlignment="1">
      <alignment horizontal="center" vertical="center"/>
    </xf>
    <xf numFmtId="0" fontId="8" fillId="0" borderId="63" xfId="0" applyFont="1" applyBorder="1" applyAlignment="1">
      <alignment horizontal="center" vertical="center" shrinkToFit="1"/>
    </xf>
    <xf numFmtId="0" fontId="15" fillId="0" borderId="0" xfId="0" applyFont="1" applyBorder="1" applyAlignment="1">
      <alignment vertical="center"/>
    </xf>
    <xf numFmtId="186" fontId="15" fillId="0" borderId="0" xfId="0" applyNumberFormat="1" applyFont="1" applyBorder="1" applyAlignment="1">
      <alignment vertical="center"/>
    </xf>
    <xf numFmtId="0" fontId="15" fillId="0" borderId="0" xfId="0" applyNumberFormat="1"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wrapText="1"/>
    </xf>
    <xf numFmtId="0" fontId="0" fillId="0" borderId="21" xfId="0" applyFill="1" applyBorder="1" applyAlignment="1">
      <alignment horizontal="left" vertical="center"/>
    </xf>
    <xf numFmtId="0" fontId="0" fillId="0" borderId="21" xfId="0" applyBorder="1" applyAlignment="1">
      <alignment vertical="center" shrinkToFit="1"/>
    </xf>
    <xf numFmtId="0" fontId="0" fillId="0" borderId="51" xfId="0" applyBorder="1" applyAlignment="1">
      <alignment horizontal="center" vertical="center"/>
    </xf>
    <xf numFmtId="0" fontId="0" fillId="0" borderId="63" xfId="0" applyBorder="1" applyAlignment="1">
      <alignment horizontal="center" vertical="center"/>
    </xf>
    <xf numFmtId="0" fontId="6" fillId="0" borderId="32"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49" xfId="0" applyBorder="1" applyAlignment="1">
      <alignment horizontal="center" vertical="center"/>
    </xf>
    <xf numFmtId="0" fontId="0" fillId="0" borderId="67" xfId="0" applyFill="1" applyBorder="1" applyAlignment="1">
      <alignment horizontal="left" vertical="center" shrinkToFit="1"/>
    </xf>
    <xf numFmtId="0" fontId="0" fillId="0" borderId="49" xfId="0" applyFill="1" applyBorder="1" applyAlignment="1">
      <alignment horizontal="center" vertical="center" shrinkToFit="1"/>
    </xf>
    <xf numFmtId="0" fontId="0" fillId="0" borderId="63" xfId="0" applyBorder="1" applyAlignment="1">
      <alignment horizontal="center" vertical="center" shrinkToFit="1"/>
    </xf>
    <xf numFmtId="0" fontId="0" fillId="0" borderId="29" xfId="0" applyBorder="1" applyAlignment="1">
      <alignment vertical="center" shrinkToFit="1"/>
    </xf>
    <xf numFmtId="0" fontId="7" fillId="0" borderId="0" xfId="0" applyFont="1" applyBorder="1" applyAlignment="1">
      <alignment horizontal="left" vertical="center"/>
    </xf>
    <xf numFmtId="0" fontId="8" fillId="0" borderId="34" xfId="0" applyFont="1" applyBorder="1" applyAlignment="1">
      <alignment vertical="center"/>
    </xf>
    <xf numFmtId="0" fontId="8" fillId="0" borderId="0" xfId="0" applyFont="1" applyBorder="1" applyAlignment="1">
      <alignment vertical="center" shrinkToFit="1"/>
    </xf>
    <xf numFmtId="0" fontId="8" fillId="0" borderId="0" xfId="0" applyFont="1" applyFill="1" applyBorder="1" applyAlignment="1">
      <alignment vertical="center" wrapText="1"/>
    </xf>
    <xf numFmtId="0" fontId="8"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vertical="center"/>
    </xf>
    <xf numFmtId="0" fontId="0" fillId="0" borderId="0" xfId="0" applyFont="1" applyBorder="1" applyAlignment="1">
      <alignment vertical="center" wrapText="1"/>
    </xf>
    <xf numFmtId="0" fontId="19" fillId="0" borderId="0" xfId="0" applyFont="1" applyAlignment="1">
      <alignment vertical="center"/>
    </xf>
    <xf numFmtId="0" fontId="19" fillId="0" borderId="0" xfId="0" applyFont="1" applyAlignment="1">
      <alignment vertical="center"/>
    </xf>
    <xf numFmtId="6" fontId="8" fillId="0" borderId="23" xfId="58" applyNumberFormat="1" applyFont="1" applyBorder="1" applyAlignment="1">
      <alignment horizontal="center" vertical="center"/>
    </xf>
    <xf numFmtId="6" fontId="8" fillId="0" borderId="22" xfId="58" applyNumberFormat="1" applyFont="1" applyBorder="1" applyAlignment="1">
      <alignment horizontal="center" vertical="center"/>
    </xf>
    <xf numFmtId="6" fontId="8" fillId="0" borderId="23" xfId="58" applyNumberFormat="1" applyFont="1" applyBorder="1" applyAlignment="1">
      <alignment vertical="center"/>
    </xf>
    <xf numFmtId="6" fontId="8" fillId="0" borderId="22" xfId="58" applyNumberFormat="1" applyFont="1" applyBorder="1" applyAlignment="1">
      <alignment vertical="center"/>
    </xf>
    <xf numFmtId="0" fontId="7" fillId="0" borderId="68"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0" xfId="0" applyFont="1" applyBorder="1" applyAlignment="1">
      <alignment horizontal="center" vertical="center" shrinkToFit="1"/>
    </xf>
    <xf numFmtId="0" fontId="7" fillId="0" borderId="68" xfId="0" applyFont="1" applyFill="1" applyBorder="1" applyAlignment="1">
      <alignment horizontal="center" vertical="center"/>
    </xf>
    <xf numFmtId="0" fontId="7" fillId="0" borderId="28" xfId="0" applyFont="1" applyFill="1" applyBorder="1" applyAlignment="1">
      <alignment vertical="center" shrinkToFit="1"/>
    </xf>
    <xf numFmtId="0" fontId="0" fillId="0" borderId="20" xfId="0" applyFont="1" applyFill="1" applyBorder="1" applyAlignment="1">
      <alignment horizontal="left" vertical="center"/>
    </xf>
    <xf numFmtId="0" fontId="14" fillId="0" borderId="61" xfId="0" applyFont="1" applyBorder="1" applyAlignment="1">
      <alignment vertical="center" wrapText="1"/>
    </xf>
    <xf numFmtId="0" fontId="14" fillId="0" borderId="69" xfId="0" applyFont="1" applyBorder="1" applyAlignment="1">
      <alignment vertical="center" wrapText="1"/>
    </xf>
    <xf numFmtId="0" fontId="16" fillId="0" borderId="13" xfId="0" applyFont="1" applyBorder="1" applyAlignment="1">
      <alignment horizontal="center" vertical="center"/>
    </xf>
    <xf numFmtId="6" fontId="0" fillId="0" borderId="0" xfId="58" applyNumberFormat="1" applyFont="1" applyBorder="1" applyAlignment="1">
      <alignment horizontal="center" vertical="center"/>
    </xf>
    <xf numFmtId="0" fontId="0" fillId="36" borderId="70" xfId="0" applyFill="1" applyBorder="1" applyAlignment="1">
      <alignment horizontal="center" vertical="center"/>
    </xf>
    <xf numFmtId="0" fontId="0" fillId="0" borderId="71" xfId="0" applyFill="1" applyBorder="1" applyAlignment="1">
      <alignment horizontal="center" vertical="center" shrinkToFit="1"/>
    </xf>
    <xf numFmtId="0" fontId="0" fillId="0" borderId="72" xfId="0" applyBorder="1" applyAlignment="1">
      <alignment horizontal="center" vertical="center"/>
    </xf>
    <xf numFmtId="0" fontId="0" fillId="0" borderId="20" xfId="0" applyFont="1" applyFill="1" applyBorder="1" applyAlignment="1">
      <alignment vertical="center"/>
    </xf>
    <xf numFmtId="0" fontId="0" fillId="0" borderId="62" xfId="0" applyBorder="1" applyAlignment="1">
      <alignment horizontal="center" vertical="center" shrinkToFit="1"/>
    </xf>
    <xf numFmtId="0" fontId="0" fillId="0" borderId="28" xfId="0" applyBorder="1" applyAlignment="1">
      <alignment horizontal="left" vertical="center"/>
    </xf>
    <xf numFmtId="0" fontId="0" fillId="0" borderId="73" xfId="0" applyFill="1" applyBorder="1" applyAlignment="1">
      <alignment horizontal="left" vertical="center" shrinkToFit="1"/>
    </xf>
    <xf numFmtId="0" fontId="0" fillId="0" borderId="74" xfId="0" applyBorder="1" applyAlignment="1">
      <alignment horizontal="center" vertical="center" shrinkToFit="1"/>
    </xf>
    <xf numFmtId="0" fontId="0" fillId="0" borderId="74" xfId="0" applyBorder="1" applyAlignment="1">
      <alignment horizontal="center" vertical="center"/>
    </xf>
    <xf numFmtId="0" fontId="15" fillId="0" borderId="0" xfId="0" applyFont="1" applyBorder="1" applyAlignment="1">
      <alignment horizontal="center" vertical="center"/>
    </xf>
    <xf numFmtId="0" fontId="0" fillId="0" borderId="75" xfId="0" applyBorder="1" applyAlignment="1">
      <alignment horizontal="center" vertical="center"/>
    </xf>
    <xf numFmtId="6" fontId="11" fillId="37" borderId="76" xfId="58" applyFont="1" applyFill="1" applyBorder="1" applyAlignment="1">
      <alignment horizontal="center" vertical="center"/>
    </xf>
    <xf numFmtId="0" fontId="0" fillId="0" borderId="77" xfId="0" applyBorder="1" applyAlignment="1">
      <alignment horizontal="center" vertical="center"/>
    </xf>
    <xf numFmtId="0" fontId="11" fillId="0" borderId="62" xfId="0" applyFont="1" applyBorder="1" applyAlignment="1">
      <alignment horizontal="center" vertical="center"/>
    </xf>
    <xf numFmtId="0" fontId="11" fillId="0" borderId="25" xfId="0" applyFont="1" applyBorder="1" applyAlignment="1">
      <alignment horizontal="center" vertical="center"/>
    </xf>
    <xf numFmtId="6" fontId="11" fillId="37" borderId="23" xfId="58" applyFont="1" applyFill="1" applyBorder="1" applyAlignment="1">
      <alignment horizontal="center" vertical="center"/>
    </xf>
    <xf numFmtId="6" fontId="11" fillId="37" borderId="55" xfId="58" applyFont="1" applyFill="1" applyBorder="1" applyAlignment="1">
      <alignment horizontal="center" vertical="center"/>
    </xf>
    <xf numFmtId="6" fontId="11" fillId="37" borderId="42" xfId="58" applyFont="1" applyFill="1"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34" borderId="18"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9" fillId="0" borderId="78" xfId="0" applyFont="1" applyBorder="1" applyAlignment="1">
      <alignment vertical="center"/>
    </xf>
    <xf numFmtId="0" fontId="9" fillId="0" borderId="79" xfId="0" applyFont="1" applyBorder="1" applyAlignment="1">
      <alignment vertical="center"/>
    </xf>
    <xf numFmtId="0" fontId="6" fillId="33" borderId="80" xfId="0" applyFont="1" applyFill="1" applyBorder="1" applyAlignment="1">
      <alignment horizontal="center" vertical="center" shrinkToFit="1"/>
    </xf>
    <xf numFmtId="0" fontId="6" fillId="34" borderId="81" xfId="0" applyFont="1" applyFill="1" applyBorder="1" applyAlignment="1">
      <alignment horizontal="center" vertical="center" shrinkToFit="1"/>
    </xf>
    <xf numFmtId="0" fontId="6" fillId="35" borderId="82" xfId="0" applyFont="1" applyFill="1" applyBorder="1" applyAlignment="1">
      <alignment horizontal="center" vertical="center" shrinkToFit="1"/>
    </xf>
    <xf numFmtId="0" fontId="0" fillId="0" borderId="83" xfId="0" applyBorder="1" applyAlignment="1">
      <alignment horizontal="center" vertical="center"/>
    </xf>
    <xf numFmtId="0" fontId="0" fillId="0" borderId="74" xfId="0" applyBorder="1" applyAlignment="1">
      <alignment vertical="center" shrinkToFit="1"/>
    </xf>
    <xf numFmtId="0" fontId="11" fillId="0" borderId="0" xfId="0" applyFont="1" applyAlignment="1">
      <alignment horizontal="right" vertical="center"/>
    </xf>
    <xf numFmtId="0" fontId="8" fillId="0" borderId="0" xfId="0" applyFont="1" applyBorder="1" applyAlignment="1">
      <alignment horizontal="center" vertical="center" shrinkToFit="1"/>
    </xf>
    <xf numFmtId="0" fontId="0" fillId="0" borderId="84" xfId="0" applyFill="1" applyBorder="1" applyAlignment="1">
      <alignment horizontal="center" vertical="center"/>
    </xf>
    <xf numFmtId="0" fontId="9" fillId="0" borderId="85"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left" vertical="center"/>
    </xf>
    <xf numFmtId="0" fontId="0" fillId="36" borderId="38" xfId="0" applyFill="1" applyBorder="1" applyAlignment="1">
      <alignment horizontal="center" vertical="center"/>
    </xf>
    <xf numFmtId="0" fontId="0" fillId="36" borderId="43" xfId="0" applyFill="1" applyBorder="1" applyAlignment="1">
      <alignment horizontal="center" vertical="center"/>
    </xf>
    <xf numFmtId="0" fontId="0" fillId="36" borderId="13" xfId="0" applyFill="1" applyBorder="1" applyAlignment="1">
      <alignment horizontal="center" vertical="center"/>
    </xf>
    <xf numFmtId="0" fontId="0" fillId="0" borderId="13" xfId="0" applyBorder="1" applyAlignment="1">
      <alignment horizontal="center" vertical="center"/>
    </xf>
    <xf numFmtId="6" fontId="8" fillId="0" borderId="0" xfId="58" applyNumberFormat="1" applyFont="1" applyBorder="1" applyAlignment="1">
      <alignment horizontal="center" vertical="center"/>
    </xf>
    <xf numFmtId="0" fontId="0" fillId="0" borderId="0" xfId="0" applyBorder="1" applyAlignment="1">
      <alignment vertical="center" textRotation="255"/>
    </xf>
    <xf numFmtId="6" fontId="8" fillId="0" borderId="0" xfId="58" applyFont="1" applyBorder="1" applyAlignment="1">
      <alignment horizontal="center" vertical="center"/>
    </xf>
    <xf numFmtId="6" fontId="8" fillId="0" borderId="0" xfId="58"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textRotation="255"/>
    </xf>
    <xf numFmtId="0" fontId="8" fillId="0" borderId="0" xfId="0" applyFont="1" applyAlignment="1">
      <alignment horizontal="left" vertical="center"/>
    </xf>
    <xf numFmtId="0" fontId="0" fillId="0" borderId="86" xfId="0" applyFill="1" applyBorder="1" applyAlignment="1">
      <alignment horizontal="center" vertical="center"/>
    </xf>
    <xf numFmtId="0" fontId="8" fillId="0" borderId="0" xfId="0" applyFont="1" applyFill="1" applyAlignment="1">
      <alignment vertical="center"/>
    </xf>
    <xf numFmtId="190" fontId="11" fillId="0" borderId="13" xfId="0" applyNumberFormat="1" applyFont="1" applyBorder="1" applyAlignment="1">
      <alignment vertical="center"/>
    </xf>
    <xf numFmtId="6" fontId="6" fillId="0" borderId="44" xfId="58" applyFont="1" applyFill="1" applyBorder="1" applyAlignment="1">
      <alignment vertical="center" shrinkToFit="1"/>
    </xf>
    <xf numFmtId="0" fontId="15" fillId="0" borderId="0" xfId="0" applyFont="1" applyBorder="1" applyAlignment="1">
      <alignment horizontal="right" vertical="center"/>
    </xf>
    <xf numFmtId="6" fontId="15" fillId="0" borderId="55" xfId="58" applyNumberFormat="1" applyFont="1" applyBorder="1" applyAlignment="1">
      <alignment horizontal="center" vertical="center"/>
    </xf>
    <xf numFmtId="0" fontId="0" fillId="0" borderId="40" xfId="0" applyBorder="1" applyAlignment="1">
      <alignment horizontal="center" vertical="center" wrapText="1"/>
    </xf>
    <xf numFmtId="0" fontId="0" fillId="0" borderId="87" xfId="0" applyBorder="1" applyAlignment="1">
      <alignment horizontal="center" vertical="center" wrapText="1"/>
    </xf>
    <xf numFmtId="0" fontId="7" fillId="0" borderId="87" xfId="0" applyFont="1" applyBorder="1" applyAlignment="1">
      <alignment horizontal="center" vertical="center" wrapText="1"/>
    </xf>
    <xf numFmtId="0" fontId="7" fillId="0" borderId="60" xfId="0" applyFont="1" applyBorder="1" applyAlignment="1">
      <alignment horizontal="center" vertical="center" wrapText="1"/>
    </xf>
    <xf numFmtId="0" fontId="15" fillId="0" borderId="40" xfId="0" applyNumberFormat="1"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5" fillId="0" borderId="77" xfId="0" applyNumberFormat="1" applyFont="1" applyBorder="1" applyAlignment="1">
      <alignment horizontal="center" vertical="center" shrinkToFit="1"/>
    </xf>
    <xf numFmtId="0" fontId="0" fillId="0" borderId="88" xfId="0" applyBorder="1" applyAlignment="1">
      <alignment horizontal="center" vertical="center"/>
    </xf>
    <xf numFmtId="0" fontId="15" fillId="0" borderId="40" xfId="58" applyNumberFormat="1" applyFont="1" applyBorder="1" applyAlignment="1">
      <alignment horizontal="center" vertical="center" shrinkToFit="1"/>
    </xf>
    <xf numFmtId="0" fontId="15" fillId="0" borderId="23" xfId="58" applyNumberFormat="1" applyFont="1" applyBorder="1" applyAlignment="1">
      <alignment horizontal="center" vertical="center" shrinkToFit="1"/>
    </xf>
    <xf numFmtId="0" fontId="15" fillId="0" borderId="77" xfId="58" applyNumberFormat="1" applyFont="1" applyBorder="1" applyAlignment="1">
      <alignment horizontal="center" vertical="center" shrinkToFit="1"/>
    </xf>
    <xf numFmtId="6" fontId="15" fillId="0" borderId="40" xfId="58" applyNumberFormat="1" applyFont="1" applyBorder="1" applyAlignment="1">
      <alignment horizontal="center" vertical="center"/>
    </xf>
    <xf numFmtId="6" fontId="15" fillId="0" borderId="23" xfId="58" applyNumberFormat="1" applyFont="1" applyBorder="1" applyAlignment="1">
      <alignment horizontal="center" vertical="center"/>
    </xf>
    <xf numFmtId="6" fontId="15" fillId="0" borderId="77" xfId="58" applyNumberFormat="1" applyFont="1" applyBorder="1" applyAlignment="1">
      <alignment horizontal="center" vertical="center"/>
    </xf>
    <xf numFmtId="6" fontId="15" fillId="0" borderId="87" xfId="58" applyNumberFormat="1" applyFont="1" applyBorder="1" applyAlignment="1">
      <alignment horizontal="center" vertical="center"/>
    </xf>
    <xf numFmtId="0" fontId="15" fillId="0" borderId="74" xfId="0" applyFont="1" applyBorder="1" applyAlignment="1">
      <alignment horizontal="center" vertical="center"/>
    </xf>
    <xf numFmtId="0" fontId="7" fillId="0" borderId="87" xfId="0" applyFont="1" applyBorder="1" applyAlignment="1">
      <alignment vertical="center" wrapText="1"/>
    </xf>
    <xf numFmtId="6" fontId="0" fillId="0" borderId="0" xfId="58" applyFont="1" applyFill="1" applyBorder="1" applyAlignment="1">
      <alignment horizontal="center" vertical="center"/>
    </xf>
    <xf numFmtId="6" fontId="0" fillId="0" borderId="0" xfId="58" applyFont="1" applyFill="1" applyBorder="1" applyAlignment="1">
      <alignment horizontal="center" vertical="center"/>
    </xf>
    <xf numFmtId="0" fontId="7" fillId="0" borderId="60" xfId="0" applyFont="1" applyBorder="1" applyAlignment="1">
      <alignment vertical="center"/>
    </xf>
    <xf numFmtId="0" fontId="7" fillId="0" borderId="38" xfId="0" applyFont="1" applyBorder="1" applyAlignment="1">
      <alignment vertical="center"/>
    </xf>
    <xf numFmtId="0" fontId="7" fillId="0" borderId="89" xfId="0" applyFont="1" applyBorder="1" applyAlignment="1">
      <alignment vertical="center"/>
    </xf>
    <xf numFmtId="0" fontId="7" fillId="0" borderId="87" xfId="0" applyFont="1" applyBorder="1" applyAlignment="1">
      <alignment vertical="center"/>
    </xf>
    <xf numFmtId="0" fontId="7" fillId="0" borderId="90" xfId="0" applyFont="1" applyBorder="1" applyAlignment="1">
      <alignment vertical="center"/>
    </xf>
    <xf numFmtId="0" fontId="8" fillId="0" borderId="0" xfId="0" applyFont="1" applyFill="1" applyAlignment="1">
      <alignment vertical="center"/>
    </xf>
    <xf numFmtId="0" fontId="6" fillId="0" borderId="13" xfId="0" applyFont="1" applyBorder="1" applyAlignment="1">
      <alignment horizontal="center" vertical="center" shrinkToFit="1"/>
    </xf>
    <xf numFmtId="0" fontId="0" fillId="0" borderId="22" xfId="0" applyBorder="1" applyAlignment="1">
      <alignment horizontal="center" vertical="center"/>
    </xf>
    <xf numFmtId="0" fontId="6" fillId="0" borderId="76"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77"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89" xfId="0" applyFont="1" applyBorder="1" applyAlignment="1">
      <alignment horizontal="center" vertical="center" shrinkToFit="1"/>
    </xf>
    <xf numFmtId="0" fontId="6" fillId="0" borderId="60" xfId="0" applyFont="1"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vertical="center" shrinkToFit="1"/>
    </xf>
    <xf numFmtId="0" fontId="7" fillId="0" borderId="0" xfId="0" applyFont="1" applyBorder="1" applyAlignment="1">
      <alignment horizontal="left" vertical="center" shrinkToFit="1"/>
    </xf>
    <xf numFmtId="6" fontId="8" fillId="0" borderId="91" xfId="58" applyNumberFormat="1" applyFont="1" applyBorder="1" applyAlignment="1">
      <alignment horizontal="center" vertical="center"/>
    </xf>
    <xf numFmtId="0" fontId="5" fillId="0" borderId="0" xfId="0" applyFont="1" applyBorder="1" applyAlignment="1">
      <alignment horizontal="center" vertical="center"/>
    </xf>
    <xf numFmtId="0" fontId="0" fillId="0" borderId="28" xfId="0" applyBorder="1" applyAlignment="1">
      <alignment vertical="center"/>
    </xf>
    <xf numFmtId="0" fontId="0" fillId="0" borderId="0" xfId="0" applyBorder="1" applyAlignment="1">
      <alignment vertical="center" shrinkToFit="1"/>
    </xf>
    <xf numFmtId="0" fontId="0" fillId="0" borderId="0" xfId="0" applyFill="1" applyBorder="1" applyAlignment="1">
      <alignment horizontal="left" vertical="center" shrinkToFit="1"/>
    </xf>
    <xf numFmtId="0" fontId="0" fillId="0" borderId="0" xfId="0" applyFont="1" applyBorder="1" applyAlignment="1">
      <alignment vertical="center"/>
    </xf>
    <xf numFmtId="6" fontId="0" fillId="0" borderId="40" xfId="58" applyNumberFormat="1" applyFont="1" applyBorder="1" applyAlignment="1">
      <alignment horizontal="center" vertical="center"/>
    </xf>
    <xf numFmtId="6" fontId="0" fillId="0" borderId="23" xfId="58" applyNumberFormat="1" applyFont="1" applyBorder="1" applyAlignment="1">
      <alignment horizontal="center" vertical="center"/>
    </xf>
    <xf numFmtId="6" fontId="0" fillId="0" borderId="77" xfId="58" applyNumberFormat="1" applyFont="1" applyBorder="1" applyAlignment="1">
      <alignment horizontal="center" vertical="center"/>
    </xf>
    <xf numFmtId="0" fontId="15" fillId="0" borderId="54" xfId="0" applyFont="1" applyBorder="1" applyAlignment="1">
      <alignment vertical="center"/>
    </xf>
    <xf numFmtId="0" fontId="11" fillId="0" borderId="56" xfId="0" applyFont="1" applyBorder="1" applyAlignment="1">
      <alignment horizontal="center" vertical="center"/>
    </xf>
    <xf numFmtId="0" fontId="8" fillId="0" borderId="32" xfId="0" applyFont="1" applyBorder="1" applyAlignment="1">
      <alignment horizontal="center" vertical="center"/>
    </xf>
    <xf numFmtId="6" fontId="0" fillId="36" borderId="92" xfId="58" applyFont="1" applyFill="1" applyBorder="1" applyAlignment="1">
      <alignment horizontal="center" vertical="center"/>
    </xf>
    <xf numFmtId="6" fontId="0" fillId="36" borderId="27" xfId="58" applyFont="1" applyFill="1" applyBorder="1" applyAlignment="1">
      <alignment horizontal="center" vertical="center"/>
    </xf>
    <xf numFmtId="0" fontId="11" fillId="0" borderId="93" xfId="0" applyFont="1" applyBorder="1" applyAlignment="1">
      <alignment vertical="center"/>
    </xf>
    <xf numFmtId="0" fontId="15" fillId="0" borderId="59" xfId="0" applyFont="1" applyBorder="1" applyAlignment="1">
      <alignment vertical="center"/>
    </xf>
    <xf numFmtId="0" fontId="0" fillId="0" borderId="0" xfId="0" applyBorder="1" applyAlignment="1">
      <alignment horizontal="center" vertical="center" wrapText="1"/>
    </xf>
    <xf numFmtId="6" fontId="0" fillId="0" borderId="0" xfId="58" applyFont="1" applyBorder="1" applyAlignment="1">
      <alignment horizontal="center" vertical="center" wrapText="1"/>
    </xf>
    <xf numFmtId="6" fontId="0" fillId="0" borderId="42" xfId="58" applyFont="1" applyBorder="1" applyAlignment="1">
      <alignment horizontal="center" vertical="center" wrapText="1"/>
    </xf>
    <xf numFmtId="6" fontId="0" fillId="0" borderId="45" xfId="58" applyFont="1" applyBorder="1" applyAlignment="1">
      <alignment horizontal="center" vertical="center" wrapText="1"/>
    </xf>
    <xf numFmtId="0" fontId="5" fillId="0" borderId="32" xfId="0" applyFont="1" applyBorder="1" applyAlignment="1">
      <alignment vertical="center"/>
    </xf>
    <xf numFmtId="0" fontId="5" fillId="0" borderId="94" xfId="0" applyFont="1" applyBorder="1" applyAlignment="1">
      <alignment vertical="center"/>
    </xf>
    <xf numFmtId="0" fontId="0" fillId="0" borderId="38" xfId="0" applyBorder="1" applyAlignment="1">
      <alignment vertical="center" wrapText="1"/>
    </xf>
    <xf numFmtId="0" fontId="5" fillId="0" borderId="0" xfId="0" applyFont="1" applyFill="1" applyBorder="1" applyAlignment="1">
      <alignment horizontal="center" vertical="center"/>
    </xf>
    <xf numFmtId="0" fontId="15" fillId="0" borderId="93" xfId="0" applyFont="1" applyBorder="1" applyAlignment="1">
      <alignment vertical="center"/>
    </xf>
    <xf numFmtId="0" fontId="11" fillId="0" borderId="0" xfId="0" applyFont="1" applyBorder="1" applyAlignment="1">
      <alignment vertical="center"/>
    </xf>
    <xf numFmtId="6" fontId="10" fillId="37" borderId="95" xfId="58" applyFont="1" applyFill="1" applyBorder="1" applyAlignment="1">
      <alignment vertical="center"/>
    </xf>
    <xf numFmtId="6" fontId="10" fillId="37" borderId="23" xfId="58" applyFont="1" applyFill="1" applyBorder="1" applyAlignment="1">
      <alignment vertical="center"/>
    </xf>
    <xf numFmtId="6" fontId="10" fillId="37" borderId="56" xfId="58" applyFont="1" applyFill="1" applyBorder="1" applyAlignment="1">
      <alignment vertical="center"/>
    </xf>
    <xf numFmtId="49" fontId="8" fillId="37" borderId="62" xfId="0" applyNumberFormat="1" applyFont="1" applyFill="1" applyBorder="1" applyAlignment="1">
      <alignment horizontal="center" vertical="center"/>
    </xf>
    <xf numFmtId="5" fontId="10" fillId="37" borderId="95" xfId="58" applyNumberFormat="1" applyFont="1" applyFill="1" applyBorder="1" applyAlignment="1">
      <alignment vertical="center"/>
    </xf>
    <xf numFmtId="0" fontId="8" fillId="37" borderId="96" xfId="0" applyFont="1" applyFill="1" applyBorder="1" applyAlignment="1">
      <alignment horizontal="center" vertical="center"/>
    </xf>
    <xf numFmtId="0" fontId="8" fillId="0" borderId="13" xfId="0" applyFont="1" applyBorder="1" applyAlignment="1">
      <alignment horizontal="center" vertical="center"/>
    </xf>
    <xf numFmtId="5" fontId="10" fillId="37" borderId="56" xfId="58" applyNumberFormat="1" applyFont="1" applyFill="1" applyBorder="1" applyAlignment="1">
      <alignment vertical="center"/>
    </xf>
    <xf numFmtId="0" fontId="8" fillId="0" borderId="18" xfId="0" applyFont="1" applyBorder="1" applyAlignment="1">
      <alignment horizontal="center" vertical="center"/>
    </xf>
    <xf numFmtId="6" fontId="10" fillId="37" borderId="10" xfId="58" applyFont="1" applyFill="1" applyBorder="1" applyAlignment="1">
      <alignment vertical="center"/>
    </xf>
    <xf numFmtId="5" fontId="10" fillId="37" borderId="10" xfId="58" applyNumberFormat="1" applyFont="1" applyFill="1" applyBorder="1" applyAlignment="1">
      <alignment vertical="center"/>
    </xf>
    <xf numFmtId="0" fontId="0" fillId="0" borderId="57" xfId="0" applyBorder="1" applyAlignment="1">
      <alignment vertical="center" wrapText="1"/>
    </xf>
    <xf numFmtId="0" fontId="11" fillId="0" borderId="90" xfId="0" applyFont="1" applyBorder="1" applyAlignment="1">
      <alignment horizontal="center" vertical="center"/>
    </xf>
    <xf numFmtId="6" fontId="0" fillId="0" borderId="56" xfId="58" applyFont="1" applyBorder="1" applyAlignment="1">
      <alignment horizontal="center" vertical="center" wrapText="1"/>
    </xf>
    <xf numFmtId="6" fontId="0" fillId="0" borderId="10" xfId="58" applyFont="1" applyBorder="1" applyAlignment="1">
      <alignment horizontal="center" vertical="center" wrapText="1"/>
    </xf>
    <xf numFmtId="6" fontId="0" fillId="0" borderId="23" xfId="58" applyFont="1" applyBorder="1" applyAlignment="1">
      <alignment horizontal="center" vertical="center" wrapText="1"/>
    </xf>
    <xf numFmtId="0" fontId="11" fillId="0" borderId="36" xfId="0" applyFont="1" applyBorder="1" applyAlignment="1">
      <alignment horizontal="center" vertical="center"/>
    </xf>
    <xf numFmtId="0" fontId="0" fillId="0" borderId="0" xfId="0" applyFont="1" applyBorder="1" applyAlignment="1">
      <alignment horizontal="center" vertical="center" textRotation="255"/>
    </xf>
    <xf numFmtId="6" fontId="0" fillId="36" borderId="42" xfId="58" applyFont="1" applyFill="1" applyBorder="1" applyAlignment="1">
      <alignment horizontal="center" vertical="center"/>
    </xf>
    <xf numFmtId="6" fontId="0" fillId="36" borderId="97" xfId="58" applyFont="1" applyFill="1" applyBorder="1" applyAlignment="1">
      <alignment horizontal="center" vertical="center"/>
    </xf>
    <xf numFmtId="0" fontId="8" fillId="0" borderId="19" xfId="0" applyFont="1" applyBorder="1" applyAlignment="1">
      <alignment horizontal="center" vertical="center"/>
    </xf>
    <xf numFmtId="0" fontId="8" fillId="0" borderId="98" xfId="0" applyFont="1" applyBorder="1" applyAlignment="1">
      <alignment horizontal="center" vertical="center"/>
    </xf>
    <xf numFmtId="0" fontId="0" fillId="0" borderId="0" xfId="0" applyFont="1" applyFill="1" applyBorder="1" applyAlignment="1">
      <alignment vertical="center" shrinkToFit="1"/>
    </xf>
    <xf numFmtId="6" fontId="6" fillId="0" borderId="54" xfId="58" applyFont="1" applyFill="1" applyBorder="1" applyAlignment="1">
      <alignment vertical="center" shrinkToFit="1"/>
    </xf>
    <xf numFmtId="6" fontId="0" fillId="0" borderId="11" xfId="58" applyFont="1" applyFill="1" applyBorder="1" applyAlignment="1">
      <alignment vertical="center"/>
    </xf>
    <xf numFmtId="6" fontId="0" fillId="0" borderId="50" xfId="58" applyFont="1" applyFill="1" applyBorder="1" applyAlignment="1">
      <alignment vertical="center"/>
    </xf>
    <xf numFmtId="6" fontId="0" fillId="0" borderId="43" xfId="58" applyFont="1" applyFill="1" applyBorder="1" applyAlignment="1">
      <alignment vertical="center"/>
    </xf>
    <xf numFmtId="6" fontId="6" fillId="0" borderId="99" xfId="58" applyFont="1" applyFill="1" applyBorder="1" applyAlignment="1">
      <alignment vertical="center" shrinkToFit="1"/>
    </xf>
    <xf numFmtId="0" fontId="0" fillId="0" borderId="53" xfId="0" applyBorder="1" applyAlignment="1">
      <alignment horizontal="center" vertical="center"/>
    </xf>
    <xf numFmtId="0" fontId="7" fillId="0" borderId="100" xfId="0" applyFont="1" applyBorder="1" applyAlignment="1">
      <alignment vertical="center"/>
    </xf>
    <xf numFmtId="0" fontId="7" fillId="0" borderId="53" xfId="0" applyFont="1" applyBorder="1" applyAlignment="1">
      <alignment horizontal="center" vertical="center"/>
    </xf>
    <xf numFmtId="0" fontId="0" fillId="0" borderId="52" xfId="0" applyBorder="1" applyAlignment="1">
      <alignment horizontal="center" vertical="center"/>
    </xf>
    <xf numFmtId="0" fontId="0" fillId="0" borderId="101" xfId="0" applyBorder="1" applyAlignment="1">
      <alignment horizontal="center" vertical="center"/>
    </xf>
    <xf numFmtId="0" fontId="0" fillId="0" borderId="54" xfId="0" applyBorder="1" applyAlignment="1">
      <alignment horizontal="center" vertical="center" wrapText="1"/>
    </xf>
    <xf numFmtId="0" fontId="0" fillId="0" borderId="102" xfId="0" applyBorder="1" applyAlignment="1">
      <alignment horizontal="center" vertical="center"/>
    </xf>
    <xf numFmtId="0" fontId="0" fillId="0" borderId="52" xfId="0" applyBorder="1" applyAlignment="1">
      <alignment horizontal="center" vertical="center" wrapText="1"/>
    </xf>
    <xf numFmtId="0" fontId="0" fillId="0" borderId="40" xfId="0" applyBorder="1" applyAlignment="1">
      <alignment horizontal="center" vertical="center"/>
    </xf>
    <xf numFmtId="0" fontId="0" fillId="0" borderId="103" xfId="0" applyBorder="1" applyAlignment="1">
      <alignment horizontal="center" vertical="center"/>
    </xf>
    <xf numFmtId="6" fontId="8" fillId="0" borderId="0" xfId="58" applyNumberFormat="1" applyFont="1" applyFill="1" applyBorder="1" applyAlignment="1">
      <alignment horizontal="center" vertical="center"/>
    </xf>
    <xf numFmtId="6" fontId="0" fillId="0" borderId="0" xfId="58" applyFont="1" applyFill="1" applyBorder="1" applyAlignment="1">
      <alignment vertical="center"/>
    </xf>
    <xf numFmtId="6" fontId="6" fillId="0" borderId="0" xfId="58" applyFont="1" applyFill="1" applyBorder="1" applyAlignment="1">
      <alignment vertical="center" shrinkToFit="1"/>
    </xf>
    <xf numFmtId="0" fontId="0" fillId="0" borderId="102" xfId="0" applyBorder="1" applyAlignment="1">
      <alignment horizontal="center" vertical="center" wrapText="1"/>
    </xf>
    <xf numFmtId="0" fontId="0" fillId="0" borderId="59" xfId="0" applyBorder="1" applyAlignment="1">
      <alignment horizontal="center" vertical="center" wrapText="1"/>
    </xf>
    <xf numFmtId="0" fontId="0" fillId="0" borderId="43" xfId="0" applyFont="1" applyBorder="1" applyAlignment="1">
      <alignment horizontal="center" vertical="center" wrapText="1"/>
    </xf>
    <xf numFmtId="6" fontId="8" fillId="0" borderId="103" xfId="58" applyFont="1" applyBorder="1" applyAlignment="1">
      <alignment vertical="center"/>
    </xf>
    <xf numFmtId="0" fontId="0" fillId="0" borderId="0" xfId="0" applyFont="1" applyFill="1" applyBorder="1" applyAlignment="1">
      <alignment horizontal="center" vertical="center" shrinkToFit="1"/>
    </xf>
    <xf numFmtId="0" fontId="10" fillId="0" borderId="74" xfId="0" applyFont="1" applyBorder="1" applyAlignment="1">
      <alignment horizontal="center" vertical="center" shrinkToFit="1"/>
    </xf>
    <xf numFmtId="6" fontId="15" fillId="0" borderId="104" xfId="58" applyNumberFormat="1" applyFont="1" applyBorder="1" applyAlignment="1">
      <alignment horizontal="center" vertical="center"/>
    </xf>
    <xf numFmtId="0" fontId="7" fillId="0" borderId="105" xfId="0" applyFont="1" applyBorder="1" applyAlignment="1">
      <alignment vertical="center"/>
    </xf>
    <xf numFmtId="0" fontId="0" fillId="0" borderId="0" xfId="0" applyFont="1" applyFill="1" applyAlignment="1">
      <alignment vertical="center"/>
    </xf>
    <xf numFmtId="0" fontId="0" fillId="0" borderId="106" xfId="0" applyBorder="1" applyAlignment="1">
      <alignment horizontal="center" vertical="center" wrapText="1"/>
    </xf>
    <xf numFmtId="6" fontId="8" fillId="0" borderId="40" xfId="58" applyNumberFormat="1" applyFont="1" applyBorder="1" applyAlignment="1">
      <alignment horizontal="center" vertical="center"/>
    </xf>
    <xf numFmtId="0" fontId="0" fillId="0" borderId="50" xfId="0" applyBorder="1" applyAlignment="1">
      <alignment horizontal="center" vertical="center" wrapText="1"/>
    </xf>
    <xf numFmtId="0" fontId="0" fillId="0" borderId="31" xfId="0" applyBorder="1" applyAlignment="1">
      <alignment horizontal="center" vertical="center" wrapText="1"/>
    </xf>
    <xf numFmtId="0" fontId="0" fillId="0" borderId="107" xfId="0" applyBorder="1" applyAlignment="1">
      <alignment horizontal="center" vertical="center" wrapText="1"/>
    </xf>
    <xf numFmtId="0" fontId="7" fillId="0" borderId="50" xfId="0" applyFont="1" applyBorder="1" applyAlignment="1">
      <alignment horizontal="center" vertical="center" wrapText="1" shrinkToFit="1"/>
    </xf>
    <xf numFmtId="0" fontId="7" fillId="0" borderId="106" xfId="0" applyFont="1" applyBorder="1" applyAlignment="1">
      <alignment horizontal="center" vertical="center" wrapText="1" shrinkToFit="1"/>
    </xf>
    <xf numFmtId="6" fontId="0" fillId="0" borderId="13" xfId="58" applyNumberFormat="1" applyFont="1" applyBorder="1" applyAlignment="1">
      <alignment horizontal="center" vertical="center"/>
    </xf>
    <xf numFmtId="6" fontId="0" fillId="0" borderId="11" xfId="58" applyNumberFormat="1" applyFont="1" applyBorder="1" applyAlignment="1">
      <alignment horizontal="center" vertical="center"/>
    </xf>
    <xf numFmtId="0" fontId="0" fillId="0" borderId="102"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0" fontId="9" fillId="0" borderId="0" xfId="0" applyFont="1" applyFill="1" applyBorder="1" applyAlignment="1">
      <alignment horizontal="center" vertical="center"/>
    </xf>
    <xf numFmtId="0" fontId="0" fillId="28" borderId="50" xfId="0" applyFill="1" applyBorder="1" applyAlignment="1">
      <alignment horizontal="center" vertical="center" wrapText="1"/>
    </xf>
    <xf numFmtId="6" fontId="0" fillId="28" borderId="76" xfId="58" applyFont="1" applyFill="1" applyBorder="1" applyAlignment="1">
      <alignment horizontal="center" vertical="center" wrapText="1"/>
    </xf>
    <xf numFmtId="6" fontId="0" fillId="28" borderId="23" xfId="58" applyFont="1" applyFill="1" applyBorder="1" applyAlignment="1">
      <alignment horizontal="center" vertical="center" wrapText="1"/>
    </xf>
    <xf numFmtId="6" fontId="0" fillId="28" borderId="56" xfId="58" applyFont="1" applyFill="1" applyBorder="1" applyAlignment="1">
      <alignment horizontal="center" vertical="center" wrapText="1"/>
    </xf>
    <xf numFmtId="0" fontId="0" fillId="28" borderId="11" xfId="0" applyFill="1" applyBorder="1" applyAlignment="1">
      <alignment horizontal="center" vertical="center" wrapText="1"/>
    </xf>
    <xf numFmtId="6" fontId="0" fillId="28" borderId="40" xfId="58" applyFont="1" applyFill="1" applyBorder="1" applyAlignment="1">
      <alignment horizontal="center" vertical="center" wrapText="1"/>
    </xf>
    <xf numFmtId="0" fontId="0" fillId="38" borderId="57" xfId="0" applyFill="1" applyBorder="1" applyAlignment="1">
      <alignment vertical="center" wrapText="1"/>
    </xf>
    <xf numFmtId="6" fontId="0" fillId="38" borderId="43" xfId="58" applyFont="1" applyFill="1" applyBorder="1" applyAlignment="1">
      <alignment horizontal="center" vertical="center" wrapText="1"/>
    </xf>
    <xf numFmtId="6" fontId="0" fillId="38" borderId="13" xfId="58" applyFont="1" applyFill="1" applyBorder="1" applyAlignment="1">
      <alignment horizontal="center" vertical="center" wrapText="1"/>
    </xf>
    <xf numFmtId="6" fontId="0" fillId="38" borderId="10" xfId="58" applyFont="1" applyFill="1" applyBorder="1" applyAlignment="1">
      <alignment horizontal="center" vertical="center" wrapText="1"/>
    </xf>
    <xf numFmtId="6" fontId="0" fillId="38" borderId="52" xfId="58" applyFont="1" applyFill="1" applyBorder="1" applyAlignment="1">
      <alignment horizontal="center" vertical="center" wrapText="1"/>
    </xf>
    <xf numFmtId="0" fontId="0" fillId="39" borderId="57" xfId="0" applyFill="1" applyBorder="1" applyAlignment="1">
      <alignment vertical="center" wrapText="1"/>
    </xf>
    <xf numFmtId="6" fontId="0" fillId="39" borderId="43" xfId="58" applyFont="1" applyFill="1" applyBorder="1" applyAlignment="1">
      <alignment horizontal="center" vertical="center" wrapText="1"/>
    </xf>
    <xf numFmtId="6" fontId="0" fillId="39" borderId="13" xfId="58" applyFont="1" applyFill="1" applyBorder="1" applyAlignment="1">
      <alignment horizontal="center" vertical="center" wrapText="1"/>
    </xf>
    <xf numFmtId="6" fontId="0" fillId="39" borderId="10" xfId="58" applyFont="1" applyFill="1" applyBorder="1" applyAlignment="1">
      <alignment horizontal="center" vertical="center" wrapText="1"/>
    </xf>
    <xf numFmtId="0" fontId="0" fillId="39" borderId="11" xfId="0" applyFill="1" applyBorder="1" applyAlignment="1">
      <alignment horizontal="center" vertical="center" wrapText="1"/>
    </xf>
    <xf numFmtId="6" fontId="0" fillId="39" borderId="52" xfId="58" applyFont="1" applyFill="1" applyBorder="1" applyAlignment="1">
      <alignment horizontal="center" vertical="center" wrapText="1"/>
    </xf>
    <xf numFmtId="6" fontId="0" fillId="0" borderId="60" xfId="58" applyNumberFormat="1" applyFont="1" applyBorder="1" applyAlignment="1">
      <alignment horizontal="center" vertical="center"/>
    </xf>
    <xf numFmtId="6" fontId="0" fillId="0" borderId="51" xfId="58" applyFont="1" applyBorder="1" applyAlignment="1">
      <alignment horizontal="center" vertical="center"/>
    </xf>
    <xf numFmtId="6" fontId="0" fillId="0" borderId="104" xfId="0" applyNumberFormat="1" applyBorder="1" applyAlignment="1">
      <alignment horizontal="center" vertical="center"/>
    </xf>
    <xf numFmtId="6" fontId="0" fillId="0" borderId="110" xfId="58" applyFont="1" applyBorder="1" applyAlignment="1">
      <alignment horizontal="center" vertical="center"/>
    </xf>
    <xf numFmtId="6" fontId="0" fillId="0" borderId="111" xfId="0" applyNumberFormat="1" applyBorder="1" applyAlignment="1">
      <alignment horizontal="center" vertical="center"/>
    </xf>
    <xf numFmtId="6" fontId="8" fillId="0" borderId="0" xfId="58" applyFont="1" applyBorder="1" applyAlignment="1">
      <alignment vertical="center"/>
    </xf>
    <xf numFmtId="0" fontId="8" fillId="0" borderId="0" xfId="0" applyFont="1" applyFill="1" applyBorder="1" applyAlignment="1">
      <alignment horizontal="center" vertical="center"/>
    </xf>
    <xf numFmtId="0" fontId="5" fillId="0" borderId="112" xfId="0" applyFont="1" applyBorder="1" applyAlignment="1">
      <alignment vertical="center"/>
    </xf>
    <xf numFmtId="6" fontId="8" fillId="0" borderId="60" xfId="58" applyNumberFormat="1" applyFont="1" applyBorder="1" applyAlignment="1">
      <alignment horizontal="center" vertical="center"/>
    </xf>
    <xf numFmtId="6" fontId="0" fillId="0" borderId="106" xfId="58" applyNumberFormat="1" applyFont="1" applyBorder="1" applyAlignment="1">
      <alignment horizontal="center" vertical="center"/>
    </xf>
    <xf numFmtId="6" fontId="0" fillId="0" borderId="13" xfId="0" applyNumberFormat="1" applyBorder="1" applyAlignment="1">
      <alignment horizontal="center" vertical="center"/>
    </xf>
    <xf numFmtId="6" fontId="0" fillId="0" borderId="22" xfId="0" applyNumberFormat="1" applyBorder="1" applyAlignment="1">
      <alignment horizontal="center" vertical="center"/>
    </xf>
    <xf numFmtId="6" fontId="0" fillId="0" borderId="11" xfId="0" applyNumberFormat="1" applyBorder="1" applyAlignment="1">
      <alignment horizontal="center" vertical="center"/>
    </xf>
    <xf numFmtId="6" fontId="0" fillId="0" borderId="113" xfId="0" applyNumberFormat="1" applyBorder="1" applyAlignment="1">
      <alignment horizontal="center" vertical="center"/>
    </xf>
    <xf numFmtId="0" fontId="0" fillId="0" borderId="0" xfId="0" applyFill="1" applyBorder="1" applyAlignment="1">
      <alignment horizontal="left" vertical="center"/>
    </xf>
    <xf numFmtId="0" fontId="8" fillId="0" borderId="0" xfId="0" applyFont="1" applyBorder="1" applyAlignment="1">
      <alignment horizontal="center" vertical="center" wrapText="1"/>
    </xf>
    <xf numFmtId="0" fontId="0" fillId="0" borderId="39" xfId="0" applyBorder="1" applyAlignment="1">
      <alignment horizontal="center" vertical="center"/>
    </xf>
    <xf numFmtId="0" fontId="5" fillId="0" borderId="39" xfId="0" applyFont="1" applyBorder="1" applyAlignment="1">
      <alignment horizontal="center" vertical="center"/>
    </xf>
    <xf numFmtId="6" fontId="10" fillId="37" borderId="13" xfId="58" applyFont="1" applyFill="1" applyBorder="1" applyAlignment="1">
      <alignment vertical="center"/>
    </xf>
    <xf numFmtId="0" fontId="7" fillId="0" borderId="23" xfId="0" applyFont="1" applyBorder="1" applyAlignment="1">
      <alignment vertical="center" wrapText="1"/>
    </xf>
    <xf numFmtId="0" fontId="11" fillId="0" borderId="0" xfId="0" applyFont="1" applyBorder="1" applyAlignment="1">
      <alignment horizontal="center" vertical="center" wrapText="1"/>
    </xf>
    <xf numFmtId="0" fontId="0" fillId="0" borderId="52"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10" xfId="0" applyBorder="1" applyAlignment="1">
      <alignment horizontal="center" vertical="center" textRotation="255" shrinkToFit="1"/>
    </xf>
    <xf numFmtId="6" fontId="15" fillId="0" borderId="40" xfId="58" applyNumberFormat="1" applyFont="1" applyBorder="1" applyAlignment="1">
      <alignment horizontal="center" vertical="center"/>
    </xf>
    <xf numFmtId="6" fontId="15" fillId="0" borderId="39" xfId="58" applyNumberFormat="1" applyFont="1" applyBorder="1" applyAlignment="1">
      <alignment horizontal="center" vertical="center"/>
    </xf>
    <xf numFmtId="6" fontId="15" fillId="0" borderId="101" xfId="58" applyNumberFormat="1" applyFont="1" applyBorder="1" applyAlignment="1">
      <alignment horizontal="center" vertical="center"/>
    </xf>
    <xf numFmtId="0" fontId="15" fillId="0" borderId="74" xfId="0" applyFont="1" applyBorder="1" applyAlignment="1">
      <alignment horizontal="right" vertical="center"/>
    </xf>
    <xf numFmtId="0" fontId="15" fillId="0" borderId="93" xfId="0" applyFont="1" applyBorder="1" applyAlignment="1">
      <alignment horizontal="right" vertical="center"/>
    </xf>
    <xf numFmtId="0" fontId="15" fillId="0" borderId="114" xfId="0" applyFont="1" applyBorder="1" applyAlignment="1">
      <alignment horizontal="right" vertical="center"/>
    </xf>
    <xf numFmtId="0" fontId="0" fillId="0" borderId="50" xfId="0" applyBorder="1" applyAlignment="1">
      <alignment horizontal="center" vertical="center" textRotation="255"/>
    </xf>
    <xf numFmtId="0" fontId="0" fillId="0" borderId="57" xfId="0" applyBorder="1" applyAlignment="1">
      <alignment horizontal="center" vertical="center" textRotation="255"/>
    </xf>
    <xf numFmtId="0" fontId="0" fillId="0" borderId="106" xfId="0" applyBorder="1" applyAlignment="1">
      <alignment horizontal="center" vertical="center" textRotation="255"/>
    </xf>
    <xf numFmtId="6" fontId="15" fillId="0" borderId="23" xfId="58" applyNumberFormat="1" applyFont="1" applyBorder="1" applyAlignment="1">
      <alignment horizontal="center" vertical="center"/>
    </xf>
    <xf numFmtId="6" fontId="15" fillId="0" borderId="63" xfId="58" applyNumberFormat="1" applyFont="1" applyBorder="1" applyAlignment="1">
      <alignment horizontal="center" vertical="center"/>
    </xf>
    <xf numFmtId="6" fontId="15" fillId="0" borderId="26" xfId="58" applyNumberFormat="1" applyFont="1" applyBorder="1" applyAlignment="1">
      <alignment horizontal="center" vertical="center"/>
    </xf>
    <xf numFmtId="6" fontId="15" fillId="0" borderId="60" xfId="58" applyNumberFormat="1" applyFont="1" applyBorder="1" applyAlignment="1">
      <alignment horizontal="center" vertical="center"/>
    </xf>
    <xf numFmtId="6" fontId="15" fillId="0" borderId="38" xfId="58" applyNumberFormat="1" applyFont="1" applyBorder="1" applyAlignment="1">
      <alignment horizontal="center" vertical="center"/>
    </xf>
    <xf numFmtId="6" fontId="15" fillId="0" borderId="89" xfId="58" applyNumberFormat="1" applyFont="1" applyBorder="1" applyAlignment="1">
      <alignment horizontal="center" vertical="center"/>
    </xf>
    <xf numFmtId="0" fontId="7" fillId="0" borderId="8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0" xfId="0" applyFont="1" applyBorder="1" applyAlignment="1">
      <alignment horizontal="center" vertical="center" wrapText="1"/>
    </xf>
    <xf numFmtId="0" fontId="0" fillId="0" borderId="74" xfId="0" applyBorder="1" applyAlignment="1">
      <alignment horizontal="center" vertical="center"/>
    </xf>
    <xf numFmtId="0" fontId="0" fillId="0" borderId="93" xfId="0" applyBorder="1" applyAlignment="1">
      <alignment horizontal="center" vertical="center"/>
    </xf>
    <xf numFmtId="0" fontId="0" fillId="0" borderId="114" xfId="0" applyBorder="1" applyAlignment="1">
      <alignment horizontal="center" vertical="center"/>
    </xf>
    <xf numFmtId="6" fontId="0" fillId="0" borderId="115" xfId="58" applyFont="1" applyBorder="1" applyAlignment="1">
      <alignment horizontal="center" vertical="center"/>
    </xf>
    <xf numFmtId="6" fontId="0" fillId="0" borderId="87" xfId="58" applyFont="1" applyBorder="1" applyAlignment="1">
      <alignment horizontal="center" vertical="center"/>
    </xf>
    <xf numFmtId="6" fontId="0" fillId="0" borderId="60" xfId="58" applyFont="1" applyBorder="1" applyAlignment="1">
      <alignment horizontal="center" vertical="center"/>
    </xf>
    <xf numFmtId="6" fontId="8" fillId="0" borderId="23" xfId="58" applyNumberFormat="1" applyFont="1" applyFill="1" applyBorder="1" applyAlignment="1">
      <alignment horizontal="center" vertical="center"/>
    </xf>
    <xf numFmtId="6" fontId="8" fillId="0" borderId="63" xfId="58" applyNumberFormat="1" applyFont="1" applyFill="1" applyBorder="1" applyAlignment="1">
      <alignment horizontal="center" vertical="center"/>
    </xf>
    <xf numFmtId="6" fontId="8" fillId="0" borderId="26" xfId="58" applyNumberFormat="1" applyFont="1" applyFill="1" applyBorder="1" applyAlignment="1">
      <alignment horizontal="center" vertical="center"/>
    </xf>
    <xf numFmtId="6" fontId="8" fillId="0" borderId="77" xfId="58" applyNumberFormat="1" applyFont="1" applyFill="1" applyBorder="1" applyAlignment="1">
      <alignment horizontal="center" vertical="center"/>
    </xf>
    <xf numFmtId="6" fontId="8" fillId="0" borderId="75" xfId="58" applyNumberFormat="1" applyFont="1" applyFill="1" applyBorder="1" applyAlignment="1">
      <alignment horizontal="center" vertical="center"/>
    </xf>
    <xf numFmtId="6" fontId="8" fillId="0" borderId="116" xfId="58" applyNumberFormat="1" applyFont="1" applyFill="1"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106" xfId="0" applyBorder="1" applyAlignment="1">
      <alignment horizontal="center" vertical="center"/>
    </xf>
    <xf numFmtId="0" fontId="0" fillId="0" borderId="52" xfId="0" applyBorder="1" applyAlignment="1">
      <alignment horizontal="center" vertical="center" wrapText="1"/>
    </xf>
    <xf numFmtId="0" fontId="0" fillId="0" borderId="57" xfId="0" applyBorder="1" applyAlignment="1">
      <alignment horizontal="center" vertical="center" wrapText="1"/>
    </xf>
    <xf numFmtId="0" fontId="0" fillId="0" borderId="106" xfId="0" applyBorder="1" applyAlignment="1">
      <alignment horizontal="center"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0" fillId="0" borderId="101" xfId="0" applyBorder="1" applyAlignment="1">
      <alignment horizontal="center" vertical="center" wrapText="1"/>
    </xf>
    <xf numFmtId="6" fontId="0" fillId="0" borderId="40" xfId="58" applyFont="1" applyBorder="1" applyAlignment="1">
      <alignment horizontal="center" vertical="center"/>
    </xf>
    <xf numFmtId="6" fontId="0" fillId="0" borderId="56" xfId="58" applyFont="1" applyBorder="1" applyAlignment="1">
      <alignment horizontal="center" vertical="center"/>
    </xf>
    <xf numFmtId="0" fontId="0" fillId="0" borderId="117" xfId="0" applyBorder="1" applyAlignment="1">
      <alignment horizontal="center" vertical="center" textRotation="255"/>
    </xf>
    <xf numFmtId="0" fontId="0" fillId="0" borderId="35" xfId="0" applyBorder="1" applyAlignment="1">
      <alignment horizontal="center" vertical="center" textRotation="255"/>
    </xf>
    <xf numFmtId="0" fontId="0" fillId="0" borderId="31" xfId="0" applyBorder="1" applyAlignment="1">
      <alignment horizontal="center" vertical="center" textRotation="255"/>
    </xf>
    <xf numFmtId="0" fontId="0" fillId="0" borderId="39" xfId="0" applyBorder="1" applyAlignment="1">
      <alignment horizontal="center" vertical="center" textRotation="255"/>
    </xf>
    <xf numFmtId="0" fontId="0" fillId="0" borderId="101" xfId="0" applyBorder="1" applyAlignment="1">
      <alignment horizontal="center" vertical="center" textRotation="255"/>
    </xf>
    <xf numFmtId="0" fontId="0" fillId="0" borderId="0" xfId="0" applyBorder="1" applyAlignment="1">
      <alignment horizontal="center" vertical="center" textRotation="255"/>
    </xf>
    <xf numFmtId="0" fontId="0" fillId="0" borderId="90" xfId="0" applyBorder="1" applyAlignment="1">
      <alignment horizontal="center" vertical="center" textRotation="255"/>
    </xf>
    <xf numFmtId="0" fontId="0" fillId="0" borderId="38" xfId="0" applyBorder="1" applyAlignment="1">
      <alignment horizontal="center" vertical="center" textRotation="255"/>
    </xf>
    <xf numFmtId="0" fontId="0" fillId="0" borderId="89" xfId="0" applyBorder="1" applyAlignment="1">
      <alignment horizontal="center" vertical="center" textRotation="255"/>
    </xf>
    <xf numFmtId="6" fontId="8" fillId="0" borderId="40" xfId="58" applyNumberFormat="1" applyFont="1" applyFill="1" applyBorder="1" applyAlignment="1">
      <alignment horizontal="center" vertical="center"/>
    </xf>
    <xf numFmtId="6" fontId="8" fillId="0" borderId="39" xfId="58" applyNumberFormat="1" applyFont="1" applyFill="1" applyBorder="1" applyAlignment="1">
      <alignment horizontal="center" vertical="center"/>
    </xf>
    <xf numFmtId="6" fontId="8" fillId="0" borderId="101" xfId="58" applyNumberFormat="1" applyFont="1" applyFill="1" applyBorder="1" applyAlignment="1">
      <alignment horizontal="center" vertical="center"/>
    </xf>
    <xf numFmtId="6" fontId="0" fillId="0" borderId="57" xfId="58" applyFont="1" applyBorder="1" applyAlignment="1">
      <alignment horizontal="center" vertical="center"/>
    </xf>
    <xf numFmtId="6" fontId="0" fillId="0" borderId="10" xfId="58" applyFont="1" applyBorder="1" applyAlignment="1">
      <alignment horizontal="center" vertical="center"/>
    </xf>
    <xf numFmtId="6" fontId="0" fillId="0" borderId="50" xfId="58" applyFont="1" applyFill="1" applyBorder="1" applyAlignment="1">
      <alignment horizontal="center" vertical="center"/>
    </xf>
    <xf numFmtId="6" fontId="0" fillId="0" borderId="57" xfId="58" applyFont="1" applyFill="1" applyBorder="1" applyAlignment="1">
      <alignment horizontal="center" vertical="center"/>
    </xf>
    <xf numFmtId="6" fontId="0" fillId="0" borderId="106" xfId="58" applyFont="1" applyFill="1" applyBorder="1" applyAlignment="1">
      <alignment horizontal="center" vertical="center"/>
    </xf>
    <xf numFmtId="0" fontId="0" fillId="0" borderId="118"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Border="1" applyAlignment="1">
      <alignment horizontal="center" vertical="center" textRotation="255"/>
    </xf>
    <xf numFmtId="0" fontId="0" fillId="0" borderId="117" xfId="0"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0" borderId="39" xfId="0" applyFill="1" applyBorder="1" applyAlignment="1">
      <alignment horizontal="center" vertical="center" textRotation="255"/>
    </xf>
    <xf numFmtId="0" fontId="0" fillId="0" borderId="101"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90"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89" xfId="0" applyFill="1" applyBorder="1" applyAlignment="1">
      <alignment horizontal="center" vertical="center" textRotation="255"/>
    </xf>
    <xf numFmtId="0" fontId="0" fillId="0" borderId="52" xfId="0" applyFill="1" applyBorder="1" applyAlignment="1">
      <alignment horizontal="center" vertical="center" textRotation="255" shrinkToFit="1"/>
    </xf>
    <xf numFmtId="0" fontId="0" fillId="0" borderId="57"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6" fontId="8" fillId="0" borderId="76" xfId="58" applyNumberFormat="1" applyFont="1" applyFill="1" applyBorder="1" applyAlignment="1">
      <alignment horizontal="center" vertical="center"/>
    </xf>
    <xf numFmtId="6" fontId="8" fillId="0" borderId="70" xfId="58" applyNumberFormat="1" applyFont="1" applyFill="1" applyBorder="1" applyAlignment="1">
      <alignment horizontal="center" vertical="center"/>
    </xf>
    <xf numFmtId="6" fontId="8" fillId="0" borderId="121" xfId="58" applyNumberFormat="1" applyFont="1" applyFill="1" applyBorder="1" applyAlignment="1">
      <alignment horizontal="center" vertical="center"/>
    </xf>
    <xf numFmtId="6" fontId="0" fillId="0" borderId="10" xfId="58" applyFont="1" applyFill="1" applyBorder="1" applyAlignment="1">
      <alignment horizontal="center" vertical="center"/>
    </xf>
    <xf numFmtId="6" fontId="0" fillId="0" borderId="50" xfId="58" applyFont="1" applyBorder="1" applyAlignment="1">
      <alignment horizontal="center" vertical="center"/>
    </xf>
    <xf numFmtId="6" fontId="0" fillId="0" borderId="106" xfId="58" applyFont="1" applyBorder="1" applyAlignment="1">
      <alignment horizontal="center" vertical="center"/>
    </xf>
    <xf numFmtId="0" fontId="0" fillId="0" borderId="33"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50"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106" xfId="0" applyFill="1" applyBorder="1" applyAlignment="1">
      <alignment horizontal="center" vertical="center" textRotation="255"/>
    </xf>
    <xf numFmtId="6" fontId="0" fillId="0" borderId="115" xfId="58" applyFont="1" applyFill="1" applyBorder="1" applyAlignment="1">
      <alignment horizontal="center" vertical="center"/>
    </xf>
    <xf numFmtId="6" fontId="0" fillId="0" borderId="87" xfId="58" applyFont="1" applyFill="1" applyBorder="1" applyAlignment="1">
      <alignment horizontal="center" vertical="center"/>
    </xf>
    <xf numFmtId="6" fontId="0" fillId="0" borderId="60" xfId="58" applyFont="1" applyFill="1" applyBorder="1" applyAlignment="1">
      <alignment horizontal="center" vertical="center"/>
    </xf>
    <xf numFmtId="6" fontId="0" fillId="0" borderId="40" xfId="58" applyFont="1" applyFill="1" applyBorder="1" applyAlignment="1">
      <alignment horizontal="center" vertical="center"/>
    </xf>
    <xf numFmtId="6" fontId="0" fillId="0" borderId="56" xfId="58" applyFont="1" applyFill="1" applyBorder="1" applyAlignment="1">
      <alignment horizontal="center" vertical="center"/>
    </xf>
    <xf numFmtId="0" fontId="0" fillId="0" borderId="52" xfId="0" applyBorder="1" applyAlignment="1">
      <alignment horizontal="center" vertical="center" textRotation="255" wrapText="1"/>
    </xf>
    <xf numFmtId="0" fontId="0" fillId="0" borderId="57" xfId="0" applyBorder="1" applyAlignment="1">
      <alignment horizontal="center" vertical="center" textRotation="255" wrapText="1"/>
    </xf>
    <xf numFmtId="0" fontId="0" fillId="0" borderId="106" xfId="0" applyBorder="1" applyAlignment="1">
      <alignment horizontal="center" vertical="center" textRotation="255" wrapText="1"/>
    </xf>
    <xf numFmtId="0" fontId="0" fillId="40" borderId="122" xfId="0" applyFill="1" applyBorder="1" applyAlignment="1">
      <alignment horizontal="center" vertical="center" shrinkToFit="1"/>
    </xf>
    <xf numFmtId="0" fontId="0" fillId="40" borderId="123" xfId="0" applyFill="1" applyBorder="1" applyAlignment="1">
      <alignment horizontal="center" vertical="center" shrinkToFit="1"/>
    </xf>
    <xf numFmtId="0" fontId="0" fillId="40" borderId="124" xfId="0" applyFill="1" applyBorder="1" applyAlignment="1">
      <alignment horizontal="center" vertical="center" shrinkToFit="1"/>
    </xf>
    <xf numFmtId="0" fontId="0" fillId="0" borderId="117" xfId="0" applyBorder="1" applyAlignment="1">
      <alignment horizontal="center" vertical="center" textRotation="255" shrinkToFit="1"/>
    </xf>
    <xf numFmtId="0" fontId="0" fillId="0" borderId="35" xfId="0" applyBorder="1" applyAlignment="1">
      <alignment horizontal="center" vertical="center" textRotation="255" shrinkToFit="1"/>
    </xf>
    <xf numFmtId="0" fontId="11" fillId="0" borderId="40"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101" xfId="0" applyFont="1" applyBorder="1" applyAlignment="1">
      <alignment horizontal="center" vertical="center" shrinkToFit="1"/>
    </xf>
    <xf numFmtId="0" fontId="6" fillId="35" borderId="74" xfId="0" applyFont="1" applyFill="1" applyBorder="1" applyAlignment="1">
      <alignment horizontal="center" vertical="center"/>
    </xf>
    <xf numFmtId="0" fontId="6" fillId="35" borderId="93" xfId="0" applyFont="1" applyFill="1" applyBorder="1" applyAlignment="1">
      <alignment horizontal="center" vertical="center"/>
    </xf>
    <xf numFmtId="0" fontId="6" fillId="35" borderId="114" xfId="0" applyFont="1" applyFill="1" applyBorder="1" applyAlignment="1">
      <alignment horizontal="center" vertical="center"/>
    </xf>
    <xf numFmtId="0" fontId="6" fillId="0" borderId="52"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106" xfId="0" applyFont="1" applyBorder="1" applyAlignment="1">
      <alignment horizontal="center" vertical="center" shrinkToFit="1"/>
    </xf>
    <xf numFmtId="0" fontId="0" fillId="0" borderId="87"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xf>
    <xf numFmtId="6" fontId="0" fillId="0" borderId="43" xfId="58" applyFont="1" applyBorder="1" applyAlignment="1">
      <alignment horizontal="center" vertical="center"/>
    </xf>
    <xf numFmtId="6" fontId="0" fillId="0" borderId="13" xfId="58" applyFont="1" applyBorder="1" applyAlignment="1">
      <alignment horizontal="center" vertical="center"/>
    </xf>
    <xf numFmtId="0" fontId="0" fillId="0" borderId="90" xfId="0" applyBorder="1" applyAlignment="1">
      <alignment horizontal="center" vertical="center" wrapText="1"/>
    </xf>
    <xf numFmtId="0" fontId="0" fillId="0" borderId="89" xfId="0" applyBorder="1" applyAlignment="1">
      <alignment horizontal="center" vertical="center" wrapText="1"/>
    </xf>
    <xf numFmtId="6" fontId="0" fillId="0" borderId="43" xfId="58" applyFont="1" applyFill="1" applyBorder="1" applyAlignment="1">
      <alignment horizontal="center" vertical="center"/>
    </xf>
    <xf numFmtId="6" fontId="0" fillId="0" borderId="13" xfId="58" applyFont="1" applyFill="1" applyBorder="1" applyAlignment="1">
      <alignment horizontal="center" vertical="center"/>
    </xf>
    <xf numFmtId="6" fontId="0" fillId="0" borderId="11" xfId="58" applyFont="1" applyFill="1" applyBorder="1" applyAlignment="1">
      <alignment horizontal="center" vertical="center"/>
    </xf>
    <xf numFmtId="6" fontId="0" fillId="0" borderId="13" xfId="58" applyNumberFormat="1" applyFont="1" applyBorder="1" applyAlignment="1">
      <alignment horizontal="center" vertical="center"/>
    </xf>
    <xf numFmtId="6" fontId="0" fillId="0" borderId="11" xfId="58" applyNumberFormat="1" applyFont="1" applyBorder="1" applyAlignment="1">
      <alignment horizontal="center" vertical="center"/>
    </xf>
    <xf numFmtId="0" fontId="0" fillId="0" borderId="117" xfId="0" applyNumberFormat="1" applyBorder="1" applyAlignment="1">
      <alignment horizontal="center" vertical="center" textRotation="255" wrapText="1"/>
    </xf>
    <xf numFmtId="0" fontId="0" fillId="0" borderId="35" xfId="0" applyNumberFormat="1" applyBorder="1" applyAlignment="1">
      <alignment horizontal="center" vertical="center" textRotation="255" wrapText="1"/>
    </xf>
    <xf numFmtId="0" fontId="0" fillId="0" borderId="31" xfId="0" applyNumberFormat="1" applyBorder="1" applyAlignment="1">
      <alignment horizontal="center" vertical="center" textRotation="255" wrapText="1"/>
    </xf>
    <xf numFmtId="176" fontId="7" fillId="0" borderId="40" xfId="0" applyNumberFormat="1" applyFont="1" applyFill="1" applyBorder="1" applyAlignment="1">
      <alignment horizontal="center" vertical="center" textRotation="255" wrapText="1"/>
    </xf>
    <xf numFmtId="176" fontId="7" fillId="0" borderId="101" xfId="0" applyNumberFormat="1" applyFont="1" applyFill="1" applyBorder="1" applyAlignment="1">
      <alignment horizontal="center" vertical="center" textRotation="255" wrapText="1"/>
    </xf>
    <xf numFmtId="176" fontId="7" fillId="0" borderId="87" xfId="0" applyNumberFormat="1" applyFont="1" applyFill="1" applyBorder="1" applyAlignment="1">
      <alignment horizontal="center" vertical="center" textRotation="255" wrapText="1"/>
    </xf>
    <xf numFmtId="176" fontId="7" fillId="0" borderId="90" xfId="0" applyNumberFormat="1" applyFont="1" applyFill="1" applyBorder="1" applyAlignment="1">
      <alignment horizontal="center" vertical="center" textRotation="255" wrapText="1"/>
    </xf>
    <xf numFmtId="176" fontId="7" fillId="0" borderId="60" xfId="0" applyNumberFormat="1" applyFont="1" applyFill="1" applyBorder="1" applyAlignment="1">
      <alignment horizontal="center" vertical="center" textRotation="255" wrapText="1"/>
    </xf>
    <xf numFmtId="176" fontId="7" fillId="0" borderId="89" xfId="0" applyNumberFormat="1" applyFont="1" applyFill="1" applyBorder="1" applyAlignment="1">
      <alignment horizontal="center" vertical="center" textRotation="255" wrapText="1"/>
    </xf>
    <xf numFmtId="6" fontId="0" fillId="0" borderId="50" xfId="58" applyFont="1" applyFill="1" applyBorder="1" applyAlignment="1">
      <alignment horizontal="center" vertical="center"/>
    </xf>
    <xf numFmtId="6" fontId="0" fillId="0" borderId="57" xfId="58" applyFont="1" applyFill="1" applyBorder="1" applyAlignment="1">
      <alignment horizontal="center" vertical="center"/>
    </xf>
    <xf numFmtId="6" fontId="0" fillId="0" borderId="106" xfId="58" applyFont="1" applyFill="1" applyBorder="1" applyAlignment="1">
      <alignment horizontal="center" vertical="center"/>
    </xf>
    <xf numFmtId="6" fontId="0" fillId="0" borderId="43" xfId="58" applyFont="1" applyFill="1" applyBorder="1" applyAlignment="1">
      <alignment horizontal="center" vertical="center"/>
    </xf>
    <xf numFmtId="6" fontId="0" fillId="0" borderId="13" xfId="58" applyFont="1" applyFill="1" applyBorder="1" applyAlignment="1">
      <alignment horizontal="center" vertical="center"/>
    </xf>
    <xf numFmtId="6" fontId="0" fillId="0" borderId="11" xfId="58" applyFont="1" applyFill="1" applyBorder="1" applyAlignment="1">
      <alignment horizontal="center" vertical="center"/>
    </xf>
    <xf numFmtId="0" fontId="0" fillId="0" borderId="35" xfId="0" applyBorder="1" applyAlignment="1">
      <alignment vertical="center"/>
    </xf>
    <xf numFmtId="0" fontId="0" fillId="0" borderId="31" xfId="0" applyBorder="1" applyAlignment="1">
      <alignment vertical="center"/>
    </xf>
    <xf numFmtId="6" fontId="0" fillId="0" borderId="52" xfId="58" applyFont="1" applyFill="1" applyBorder="1" applyAlignment="1">
      <alignment horizontal="center" vertical="center"/>
    </xf>
    <xf numFmtId="6" fontId="0" fillId="0" borderId="10" xfId="58" applyFont="1" applyFill="1" applyBorder="1" applyAlignment="1">
      <alignment horizontal="center" vertical="center"/>
    </xf>
    <xf numFmtId="6" fontId="0" fillId="0" borderId="52" xfId="58" applyFont="1" applyBorder="1" applyAlignment="1">
      <alignment horizontal="center" vertical="center"/>
    </xf>
    <xf numFmtId="0" fontId="0" fillId="0" borderId="40" xfId="0" applyBorder="1" applyAlignment="1">
      <alignment horizontal="center" vertical="center" textRotation="255"/>
    </xf>
    <xf numFmtId="0" fontId="0" fillId="0" borderId="87" xfId="0" applyBorder="1" applyAlignment="1">
      <alignment horizontal="center" vertical="center" textRotation="255"/>
    </xf>
    <xf numFmtId="0" fontId="0" fillId="0" borderId="60" xfId="0" applyBorder="1" applyAlignment="1">
      <alignment horizontal="center" vertical="center" textRotation="255"/>
    </xf>
    <xf numFmtId="6" fontId="8" fillId="0" borderId="87" xfId="58" applyFont="1" applyBorder="1" applyAlignment="1">
      <alignment horizontal="center" vertical="center"/>
    </xf>
    <xf numFmtId="6" fontId="8" fillId="0" borderId="56" xfId="58" applyFont="1" applyBorder="1" applyAlignment="1">
      <alignment horizontal="center" vertical="center"/>
    </xf>
    <xf numFmtId="6" fontId="8" fillId="0" borderId="50" xfId="58" applyFont="1" applyFill="1" applyBorder="1" applyAlignment="1">
      <alignment horizontal="center" vertical="center"/>
    </xf>
    <xf numFmtId="6" fontId="8" fillId="0" borderId="57" xfId="58" applyFont="1" applyFill="1" applyBorder="1" applyAlignment="1">
      <alignment horizontal="center" vertical="center"/>
    </xf>
    <xf numFmtId="6" fontId="8" fillId="0" borderId="106" xfId="58" applyFont="1" applyFill="1" applyBorder="1" applyAlignment="1">
      <alignment horizontal="center" vertical="center"/>
    </xf>
    <xf numFmtId="6" fontId="8" fillId="0" borderId="115" xfId="58" applyFont="1" applyBorder="1" applyAlignment="1">
      <alignment horizontal="center" vertical="center"/>
    </xf>
    <xf numFmtId="6" fontId="8" fillId="0" borderId="60" xfId="58" applyFont="1" applyBorder="1" applyAlignment="1">
      <alignment horizontal="center" vertical="center"/>
    </xf>
    <xf numFmtId="6" fontId="8" fillId="0" borderId="23" xfId="58" applyNumberFormat="1" applyFont="1" applyBorder="1" applyAlignment="1">
      <alignment horizontal="center" vertical="center"/>
    </xf>
    <xf numFmtId="6" fontId="8" fillId="0" borderId="63" xfId="58" applyNumberFormat="1" applyFont="1" applyBorder="1" applyAlignment="1">
      <alignment horizontal="center" vertical="center"/>
    </xf>
    <xf numFmtId="6" fontId="8" fillId="0" borderId="26" xfId="58" applyNumberFormat="1" applyFont="1" applyBorder="1" applyAlignment="1">
      <alignment horizontal="center" vertical="center"/>
    </xf>
    <xf numFmtId="6" fontId="8" fillId="0" borderId="77" xfId="58" applyNumberFormat="1" applyFont="1" applyBorder="1" applyAlignment="1">
      <alignment horizontal="center" vertical="center"/>
    </xf>
    <xf numFmtId="6" fontId="8" fillId="0" borderId="75" xfId="58" applyNumberFormat="1" applyFont="1" applyBorder="1" applyAlignment="1">
      <alignment horizontal="center" vertical="center"/>
    </xf>
    <xf numFmtId="6" fontId="8" fillId="0" borderId="116" xfId="58" applyNumberFormat="1" applyFont="1" applyBorder="1" applyAlignment="1">
      <alignment horizontal="center" vertical="center"/>
    </xf>
    <xf numFmtId="6" fontId="8" fillId="0" borderId="57" xfId="58" applyFont="1" applyBorder="1" applyAlignment="1">
      <alignment horizontal="center" vertical="center"/>
    </xf>
    <xf numFmtId="6" fontId="8" fillId="0" borderId="10" xfId="58" applyFont="1" applyBorder="1" applyAlignment="1">
      <alignment horizontal="center" vertical="center"/>
    </xf>
    <xf numFmtId="6" fontId="8" fillId="0" borderId="50" xfId="58" applyFont="1" applyBorder="1" applyAlignment="1">
      <alignment horizontal="center" vertical="center"/>
    </xf>
    <xf numFmtId="6" fontId="8" fillId="0" borderId="106" xfId="58" applyFont="1" applyBorder="1" applyAlignment="1">
      <alignment horizontal="center" vertical="center"/>
    </xf>
    <xf numFmtId="6" fontId="8" fillId="0" borderId="40" xfId="58" applyNumberFormat="1" applyFont="1" applyBorder="1" applyAlignment="1">
      <alignment horizontal="center" vertical="center"/>
    </xf>
    <xf numFmtId="6" fontId="8" fillId="0" borderId="39" xfId="58" applyNumberFormat="1" applyFont="1" applyBorder="1" applyAlignment="1">
      <alignment horizontal="center" vertical="center"/>
    </xf>
    <xf numFmtId="6" fontId="8" fillId="0" borderId="101" xfId="58" applyNumberFormat="1" applyFont="1" applyBorder="1" applyAlignment="1">
      <alignment horizontal="center" vertical="center"/>
    </xf>
    <xf numFmtId="6" fontId="8" fillId="0" borderId="115" xfId="58" applyNumberFormat="1" applyFont="1" applyBorder="1" applyAlignment="1">
      <alignment horizontal="center" vertical="center"/>
    </xf>
    <xf numFmtId="6" fontId="8" fillId="0" borderId="72" xfId="58" applyNumberFormat="1" applyFont="1" applyBorder="1" applyAlignment="1">
      <alignment horizontal="center" vertical="center"/>
    </xf>
    <xf numFmtId="6" fontId="8" fillId="0" borderId="125" xfId="58" applyNumberFormat="1" applyFont="1" applyBorder="1" applyAlignment="1">
      <alignment horizontal="center" vertical="center"/>
    </xf>
    <xf numFmtId="6" fontId="8" fillId="0" borderId="10" xfId="58" applyFont="1" applyFill="1" applyBorder="1" applyAlignment="1">
      <alignment horizontal="center" vertical="center"/>
    </xf>
    <xf numFmtId="6" fontId="8" fillId="0" borderId="126" xfId="58" applyFont="1" applyBorder="1" applyAlignment="1">
      <alignment horizontal="center" vertical="center"/>
    </xf>
    <xf numFmtId="6" fontId="8" fillId="0" borderId="127" xfId="58" applyFont="1" applyBorder="1" applyAlignment="1">
      <alignment horizontal="center" vertical="center"/>
    </xf>
    <xf numFmtId="6" fontId="8" fillId="0" borderId="128" xfId="58" applyFont="1" applyBorder="1" applyAlignment="1">
      <alignment horizontal="center" vertical="center"/>
    </xf>
    <xf numFmtId="6" fontId="8" fillId="0" borderId="129" xfId="58" applyFont="1" applyBorder="1" applyAlignment="1">
      <alignment horizontal="center" vertical="center"/>
    </xf>
    <xf numFmtId="6" fontId="8" fillId="0" borderId="130" xfId="58" applyFont="1" applyBorder="1" applyAlignment="1">
      <alignment horizontal="center" vertical="center"/>
    </xf>
    <xf numFmtId="6" fontId="8" fillId="0" borderId="76" xfId="58" applyNumberFormat="1" applyFont="1" applyBorder="1" applyAlignment="1">
      <alignment horizontal="center" vertical="center"/>
    </xf>
    <xf numFmtId="6" fontId="8" fillId="0" borderId="70" xfId="58" applyNumberFormat="1" applyFont="1" applyBorder="1" applyAlignment="1">
      <alignment horizontal="center" vertical="center"/>
    </xf>
    <xf numFmtId="6" fontId="8" fillId="0" borderId="121" xfId="58" applyNumberFormat="1" applyFont="1" applyBorder="1" applyAlignment="1">
      <alignment horizontal="center" vertical="center"/>
    </xf>
    <xf numFmtId="6" fontId="8" fillId="0" borderId="52" xfId="58" applyFont="1" applyBorder="1" applyAlignment="1">
      <alignment horizontal="center" vertical="center"/>
    </xf>
    <xf numFmtId="6" fontId="8" fillId="0" borderId="52" xfId="58" applyFont="1" applyFill="1" applyBorder="1" applyAlignment="1">
      <alignment horizontal="center" vertical="center"/>
    </xf>
    <xf numFmtId="0" fontId="5" fillId="41" borderId="74" xfId="0" applyFont="1" applyFill="1" applyBorder="1" applyAlignment="1">
      <alignment horizontal="center" vertical="center"/>
    </xf>
    <xf numFmtId="0" fontId="5" fillId="41" borderId="93" xfId="0" applyFont="1" applyFill="1" applyBorder="1" applyAlignment="1">
      <alignment horizontal="center" vertical="center"/>
    </xf>
    <xf numFmtId="0" fontId="5" fillId="41" borderId="114" xfId="0" applyFont="1" applyFill="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7" fillId="0" borderId="74" xfId="0" applyFont="1" applyBorder="1" applyAlignment="1">
      <alignment horizontal="center" vertical="center"/>
    </xf>
    <xf numFmtId="0" fontId="7" fillId="0" borderId="114" xfId="0" applyFont="1" applyBorder="1" applyAlignment="1">
      <alignment horizontal="center" vertical="center"/>
    </xf>
    <xf numFmtId="0" fontId="0" fillId="0" borderId="101" xfId="0" applyBorder="1" applyAlignment="1">
      <alignment horizontal="center" vertical="center" wrapText="1" shrinkToFit="1"/>
    </xf>
    <xf numFmtId="0" fontId="15"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101" xfId="0" applyFont="1" applyBorder="1" applyAlignment="1">
      <alignment horizontal="center" vertical="center"/>
    </xf>
    <xf numFmtId="0" fontId="10" fillId="0" borderId="52"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106" xfId="0" applyFont="1" applyBorder="1" applyAlignment="1">
      <alignment horizontal="center" vertical="center" shrinkToFit="1"/>
    </xf>
    <xf numFmtId="0" fontId="7" fillId="0" borderId="52" xfId="0" applyFont="1" applyBorder="1" applyAlignment="1">
      <alignment horizontal="center" vertical="center" wrapText="1"/>
    </xf>
    <xf numFmtId="0" fontId="7" fillId="0" borderId="57" xfId="0" applyFont="1" applyBorder="1" applyAlignment="1">
      <alignment horizontal="center" vertical="center" wrapText="1"/>
    </xf>
    <xf numFmtId="6" fontId="15" fillId="0" borderId="115" xfId="58" applyNumberFormat="1" applyFont="1" applyBorder="1" applyAlignment="1">
      <alignment horizontal="center" vertical="center"/>
    </xf>
    <xf numFmtId="6" fontId="15" fillId="0" borderId="72" xfId="58" applyNumberFormat="1" applyFont="1" applyBorder="1" applyAlignment="1">
      <alignment horizontal="center" vertical="center"/>
    </xf>
    <xf numFmtId="6" fontId="15" fillId="0" borderId="125" xfId="58" applyNumberFormat="1" applyFont="1" applyBorder="1" applyAlignment="1">
      <alignment horizontal="center" vertical="center"/>
    </xf>
    <xf numFmtId="6" fontId="15" fillId="0" borderId="76" xfId="58" applyNumberFormat="1" applyFont="1" applyBorder="1" applyAlignment="1">
      <alignment horizontal="center" vertical="center"/>
    </xf>
    <xf numFmtId="6" fontId="15" fillId="0" borderId="70" xfId="58" applyNumberFormat="1" applyFont="1" applyBorder="1" applyAlignment="1">
      <alignment horizontal="center" vertical="center"/>
    </xf>
    <xf numFmtId="6" fontId="15" fillId="0" borderId="121" xfId="58" applyNumberFormat="1" applyFont="1" applyBorder="1" applyAlignment="1">
      <alignment horizontal="center" vertical="center"/>
    </xf>
    <xf numFmtId="0" fontId="7" fillId="0" borderId="52" xfId="0" applyFont="1" applyBorder="1" applyAlignment="1">
      <alignment horizontal="center" vertical="center" wrapText="1" shrinkToFit="1"/>
    </xf>
    <xf numFmtId="0" fontId="7" fillId="0" borderId="57" xfId="0" applyFont="1" applyBorder="1" applyAlignment="1">
      <alignment horizontal="center" vertical="center" wrapText="1" shrinkToFit="1"/>
    </xf>
    <xf numFmtId="0" fontId="17" fillId="0" borderId="52" xfId="0" applyFont="1" applyBorder="1" applyAlignment="1">
      <alignment horizontal="center" vertical="center" wrapText="1" shrinkToFit="1"/>
    </xf>
    <xf numFmtId="0" fontId="17" fillId="0" borderId="57" xfId="0" applyFont="1" applyBorder="1" applyAlignment="1">
      <alignment horizontal="center" vertical="center" wrapText="1" shrinkToFit="1"/>
    </xf>
    <xf numFmtId="0" fontId="15" fillId="0" borderId="122" xfId="0" applyFont="1" applyBorder="1" applyAlignment="1">
      <alignment horizontal="center" vertical="center" shrinkToFit="1"/>
    </xf>
    <xf numFmtId="0" fontId="15" fillId="0" borderId="123" xfId="0" applyFont="1" applyBorder="1" applyAlignment="1">
      <alignment horizontal="center" vertical="center" shrinkToFit="1"/>
    </xf>
    <xf numFmtId="0" fontId="15" fillId="0" borderId="124" xfId="0" applyFont="1" applyBorder="1" applyAlignment="1">
      <alignment horizontal="center" vertical="center" shrinkToFit="1"/>
    </xf>
    <xf numFmtId="0" fontId="0" fillId="0" borderId="131" xfId="0" applyBorder="1" applyAlignment="1">
      <alignment horizontal="center" vertical="center"/>
    </xf>
    <xf numFmtId="0" fontId="0" fillId="0" borderId="88" xfId="0" applyBorder="1" applyAlignment="1">
      <alignment horizontal="center" vertical="center"/>
    </xf>
    <xf numFmtId="0" fontId="0" fillId="0" borderId="102" xfId="0" applyBorder="1" applyAlignment="1">
      <alignment horizontal="center" vertical="center"/>
    </xf>
    <xf numFmtId="176" fontId="0" fillId="0" borderId="40" xfId="0" applyNumberFormat="1" applyFont="1" applyFill="1" applyBorder="1" applyAlignment="1">
      <alignment horizontal="center" vertical="center" textRotation="255" wrapText="1"/>
    </xf>
    <xf numFmtId="176" fontId="0" fillId="0" borderId="101" xfId="0" applyNumberFormat="1" applyFont="1" applyFill="1" applyBorder="1" applyAlignment="1">
      <alignment horizontal="center" vertical="center" textRotation="255" wrapText="1"/>
    </xf>
    <xf numFmtId="176" fontId="0" fillId="0" borderId="87" xfId="0" applyNumberFormat="1" applyFont="1" applyFill="1" applyBorder="1" applyAlignment="1">
      <alignment horizontal="center" vertical="center" textRotation="255" wrapText="1"/>
    </xf>
    <xf numFmtId="176" fontId="0" fillId="0" borderId="90" xfId="0" applyNumberFormat="1" applyFont="1" applyFill="1" applyBorder="1" applyAlignment="1">
      <alignment horizontal="center" vertical="center" textRotation="255" wrapText="1"/>
    </xf>
    <xf numFmtId="176" fontId="0" fillId="0" borderId="60" xfId="0" applyNumberFormat="1" applyFont="1" applyFill="1" applyBorder="1" applyAlignment="1">
      <alignment horizontal="center" vertical="center" textRotation="255" wrapText="1"/>
    </xf>
    <xf numFmtId="176" fontId="0" fillId="0" borderId="89" xfId="0" applyNumberFormat="1" applyFont="1" applyFill="1" applyBorder="1" applyAlignment="1">
      <alignment horizontal="center" vertical="center" textRotation="255" wrapText="1"/>
    </xf>
    <xf numFmtId="0" fontId="7" fillId="0" borderId="60"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132" xfId="0" applyBorder="1" applyAlignment="1">
      <alignment horizontal="center" vertical="center" wrapText="1"/>
    </xf>
    <xf numFmtId="6" fontId="15" fillId="0" borderId="54" xfId="58" applyNumberFormat="1" applyFont="1" applyBorder="1" applyAlignment="1">
      <alignment horizontal="center" vertical="center"/>
    </xf>
    <xf numFmtId="6" fontId="15" fillId="0" borderId="58" xfId="58" applyNumberFormat="1" applyFont="1" applyBorder="1" applyAlignment="1">
      <alignment horizontal="center" vertical="center"/>
    </xf>
    <xf numFmtId="6" fontId="15" fillId="0" borderId="99" xfId="58" applyNumberFormat="1" applyFont="1" applyBorder="1" applyAlignment="1">
      <alignment horizontal="center" vertical="center"/>
    </xf>
    <xf numFmtId="6" fontId="15" fillId="0" borderId="44" xfId="58" applyNumberFormat="1" applyFont="1" applyBorder="1" applyAlignment="1">
      <alignment horizontal="center" vertical="center"/>
    </xf>
    <xf numFmtId="6" fontId="15" fillId="0" borderId="132" xfId="58" applyNumberFormat="1" applyFont="1" applyBorder="1" applyAlignment="1">
      <alignment horizontal="center" vertical="center"/>
    </xf>
    <xf numFmtId="0" fontId="15" fillId="0" borderId="117" xfId="0" applyFont="1" applyBorder="1" applyAlignment="1">
      <alignment horizontal="center" vertical="center" shrinkToFit="1"/>
    </xf>
    <xf numFmtId="0" fontId="15" fillId="0" borderId="31" xfId="0" applyFont="1" applyBorder="1" applyAlignment="1">
      <alignment horizontal="center" vertical="center" shrinkToFit="1"/>
    </xf>
    <xf numFmtId="186" fontId="15" fillId="0" borderId="54" xfId="0" applyNumberFormat="1" applyFont="1" applyBorder="1" applyAlignment="1">
      <alignment horizontal="center" vertical="center"/>
    </xf>
    <xf numFmtId="186" fontId="15" fillId="0" borderId="132" xfId="0" applyNumberFormat="1" applyFont="1" applyBorder="1" applyAlignment="1">
      <alignment horizontal="center" vertical="center"/>
    </xf>
    <xf numFmtId="0" fontId="0" fillId="0" borderId="117" xfId="0" applyBorder="1" applyAlignment="1">
      <alignment horizontal="center" vertical="center"/>
    </xf>
    <xf numFmtId="0" fontId="0" fillId="0" borderId="31" xfId="0" applyBorder="1" applyAlignment="1">
      <alignment horizontal="center" vertical="center"/>
    </xf>
    <xf numFmtId="6" fontId="15" fillId="0" borderId="87" xfId="58" applyNumberFormat="1" applyFont="1" applyBorder="1" applyAlignment="1">
      <alignment horizontal="center" vertical="center"/>
    </xf>
    <xf numFmtId="6" fontId="15" fillId="0" borderId="56" xfId="58" applyNumberFormat="1" applyFont="1" applyBorder="1" applyAlignment="1">
      <alignment horizontal="center" vertical="center"/>
    </xf>
    <xf numFmtId="0" fontId="15" fillId="0" borderId="117" xfId="0" applyFont="1" applyBorder="1" applyAlignment="1">
      <alignment horizontal="center" vertical="center"/>
    </xf>
    <xf numFmtId="0" fontId="15" fillId="0" borderId="31" xfId="0" applyFont="1" applyBorder="1" applyAlignment="1">
      <alignment horizontal="center" vertical="center"/>
    </xf>
    <xf numFmtId="0" fontId="15" fillId="0" borderId="54" xfId="0" applyFont="1" applyBorder="1" applyAlignment="1">
      <alignment horizontal="center" vertical="center"/>
    </xf>
    <xf numFmtId="0" fontId="15" fillId="0" borderId="132" xfId="0" applyFont="1" applyBorder="1" applyAlignment="1">
      <alignment horizontal="center" vertical="center"/>
    </xf>
    <xf numFmtId="0" fontId="8" fillId="0" borderId="4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9" xfId="0" applyFont="1" applyBorder="1" applyAlignment="1">
      <alignment horizontal="center" vertical="center" wrapText="1"/>
    </xf>
    <xf numFmtId="0" fontId="0" fillId="0" borderId="133" xfId="0" applyBorder="1" applyAlignment="1">
      <alignment horizontal="center" vertical="center"/>
    </xf>
    <xf numFmtId="0" fontId="0" fillId="0" borderId="38" xfId="0" applyBorder="1" applyAlignment="1">
      <alignment horizontal="center" vertical="center"/>
    </xf>
    <xf numFmtId="9" fontId="15" fillId="0" borderId="54" xfId="0" applyNumberFormat="1" applyFont="1" applyBorder="1" applyAlignment="1">
      <alignment horizontal="center" vertical="center"/>
    </xf>
    <xf numFmtId="9" fontId="15" fillId="0" borderId="132" xfId="0" applyNumberFormat="1" applyFont="1" applyBorder="1" applyAlignment="1">
      <alignment horizontal="center" vertical="center"/>
    </xf>
    <xf numFmtId="0" fontId="6" fillId="0" borderId="13" xfId="0" applyFont="1" applyBorder="1" applyAlignment="1">
      <alignment horizontal="center" vertical="center" shrinkToFit="1"/>
    </xf>
    <xf numFmtId="0" fontId="6" fillId="0" borderId="50" xfId="0" applyFont="1" applyBorder="1" applyAlignment="1">
      <alignment horizontal="center" vertical="center" shrinkToFit="1"/>
    </xf>
    <xf numFmtId="0" fontId="18" fillId="0" borderId="52" xfId="0" applyFont="1" applyBorder="1" applyAlignment="1">
      <alignment horizontal="center" vertical="center" wrapText="1" shrinkToFit="1"/>
    </xf>
    <xf numFmtId="0" fontId="18" fillId="0" borderId="57" xfId="0" applyFont="1" applyBorder="1" applyAlignment="1">
      <alignment horizontal="center" vertical="center" wrapText="1" shrinkToFit="1"/>
    </xf>
    <xf numFmtId="0" fontId="18" fillId="0" borderId="106" xfId="0" applyFont="1" applyBorder="1" applyAlignment="1">
      <alignment horizontal="center" vertical="center" wrapText="1" shrinkToFit="1"/>
    </xf>
    <xf numFmtId="6" fontId="15" fillId="0" borderId="52" xfId="58" applyNumberFormat="1" applyFont="1" applyBorder="1" applyAlignment="1">
      <alignment horizontal="center" vertical="center"/>
    </xf>
    <xf numFmtId="6" fontId="15" fillId="0" borderId="10" xfId="58" applyNumberFormat="1" applyFont="1" applyBorder="1" applyAlignment="1">
      <alignment horizontal="center" vertical="center"/>
    </xf>
    <xf numFmtId="6" fontId="15" fillId="0" borderId="50" xfId="58" applyNumberFormat="1" applyFont="1" applyBorder="1" applyAlignment="1">
      <alignment horizontal="center" vertical="center"/>
    </xf>
    <xf numFmtId="6" fontId="15" fillId="0" borderId="106" xfId="58" applyNumberFormat="1" applyFont="1" applyBorder="1" applyAlignment="1">
      <alignment horizontal="center" vertical="center"/>
    </xf>
    <xf numFmtId="0" fontId="0" fillId="0" borderId="107" xfId="0" applyBorder="1" applyAlignment="1">
      <alignment horizontal="center" vertical="center" textRotation="255"/>
    </xf>
    <xf numFmtId="0" fontId="6" fillId="0" borderId="11" xfId="0" applyFont="1" applyBorder="1" applyAlignment="1">
      <alignment horizontal="center" vertical="center" shrinkToFit="1"/>
    </xf>
    <xf numFmtId="0" fontId="7" fillId="0" borderId="106" xfId="0" applyFont="1" applyBorder="1" applyAlignment="1">
      <alignment horizontal="center" vertical="center" wrapText="1"/>
    </xf>
    <xf numFmtId="0" fontId="0" fillId="0" borderId="30" xfId="0" applyBorder="1" applyAlignment="1">
      <alignment horizontal="center" vertical="center" textRotation="255" shrinkToFit="1"/>
    </xf>
    <xf numFmtId="6" fontId="11" fillId="0" borderId="115" xfId="58" applyFont="1" applyBorder="1" applyAlignment="1">
      <alignment horizontal="center" vertical="center"/>
    </xf>
    <xf numFmtId="6" fontId="11" fillId="0" borderId="72" xfId="58" applyFont="1" applyBorder="1" applyAlignment="1">
      <alignment horizontal="center" vertical="center"/>
    </xf>
    <xf numFmtId="6" fontId="11" fillId="0" borderId="125" xfId="58" applyFont="1" applyBorder="1" applyAlignment="1">
      <alignment horizontal="center" vertical="center"/>
    </xf>
    <xf numFmtId="6" fontId="11" fillId="0" borderId="87" xfId="58" applyFont="1" applyBorder="1" applyAlignment="1">
      <alignment horizontal="center" vertical="center"/>
    </xf>
    <xf numFmtId="6" fontId="11" fillId="0" borderId="0" xfId="58" applyFont="1" applyBorder="1" applyAlignment="1">
      <alignment horizontal="center" vertical="center"/>
    </xf>
    <xf numFmtId="6" fontId="11" fillId="0" borderId="90" xfId="58" applyFont="1" applyBorder="1" applyAlignment="1">
      <alignment horizontal="center" vertical="center"/>
    </xf>
    <xf numFmtId="6" fontId="11" fillId="0" borderId="56" xfId="58" applyFont="1" applyBorder="1" applyAlignment="1">
      <alignment horizontal="center" vertical="center"/>
    </xf>
    <xf numFmtId="6" fontId="11" fillId="0" borderId="62" xfId="58" applyFont="1" applyBorder="1" applyAlignment="1">
      <alignment horizontal="center" vertical="center"/>
    </xf>
    <xf numFmtId="6" fontId="11" fillId="0" borderId="25" xfId="58" applyFont="1" applyBorder="1" applyAlignment="1">
      <alignment horizontal="center" vertical="center"/>
    </xf>
    <xf numFmtId="6" fontId="11" fillId="0" borderId="40" xfId="58" applyFont="1" applyBorder="1" applyAlignment="1">
      <alignment horizontal="center" vertical="center"/>
    </xf>
    <xf numFmtId="6" fontId="11" fillId="0" borderId="39" xfId="58" applyFont="1" applyBorder="1" applyAlignment="1">
      <alignment horizontal="center" vertical="center"/>
    </xf>
    <xf numFmtId="6" fontId="11" fillId="0" borderId="101" xfId="58" applyFont="1" applyBorder="1" applyAlignment="1">
      <alignment horizontal="center" vertical="center"/>
    </xf>
    <xf numFmtId="6" fontId="11" fillId="0" borderId="76" xfId="58" applyFont="1" applyBorder="1" applyAlignment="1">
      <alignment horizontal="center" vertical="center"/>
    </xf>
    <xf numFmtId="6" fontId="11" fillId="0" borderId="23" xfId="58" applyFont="1" applyBorder="1" applyAlignment="1">
      <alignment horizontal="center" vertical="center"/>
    </xf>
    <xf numFmtId="6" fontId="11" fillId="0" borderId="12" xfId="58" applyFont="1" applyBorder="1" applyAlignment="1">
      <alignment horizontal="center" vertical="center"/>
    </xf>
    <xf numFmtId="6" fontId="11" fillId="0" borderId="15" xfId="58" applyFont="1" applyBorder="1" applyAlignment="1">
      <alignment horizontal="center" vertical="center"/>
    </xf>
    <xf numFmtId="6" fontId="11" fillId="0" borderId="77" xfId="58" applyFont="1" applyBorder="1" applyAlignment="1">
      <alignment horizontal="center" vertical="center"/>
    </xf>
    <xf numFmtId="0" fontId="0" fillId="0" borderId="50" xfId="0" applyBorder="1" applyAlignment="1">
      <alignment horizontal="center" vertical="center"/>
    </xf>
    <xf numFmtId="6" fontId="11" fillId="0" borderId="14" xfId="58" applyFont="1" applyBorder="1" applyAlignment="1">
      <alignment horizontal="center" vertical="center"/>
    </xf>
    <xf numFmtId="0" fontId="0" fillId="0" borderId="10" xfId="0" applyBorder="1" applyAlignment="1">
      <alignment horizontal="center" vertical="center"/>
    </xf>
    <xf numFmtId="6" fontId="11" fillId="0" borderId="13" xfId="58" applyFont="1" applyFill="1" applyBorder="1" applyAlignment="1">
      <alignment horizontal="center" vertical="center"/>
    </xf>
    <xf numFmtId="6" fontId="11" fillId="0" borderId="11" xfId="58" applyFont="1" applyFill="1" applyBorder="1" applyAlignment="1">
      <alignment horizontal="center" vertical="center"/>
    </xf>
    <xf numFmtId="6" fontId="11" fillId="0" borderId="13" xfId="58" applyFont="1" applyBorder="1" applyAlignment="1">
      <alignment horizontal="center" vertical="center"/>
    </xf>
    <xf numFmtId="6" fontId="11" fillId="0" borderId="11" xfId="58" applyFont="1" applyBorder="1" applyAlignment="1">
      <alignment horizontal="center" vertical="center"/>
    </xf>
    <xf numFmtId="6" fontId="11" fillId="0" borderId="60" xfId="58" applyFont="1" applyBorder="1" applyAlignment="1">
      <alignment horizontal="center" vertical="center"/>
    </xf>
    <xf numFmtId="6" fontId="11" fillId="0" borderId="38" xfId="58" applyFont="1" applyBorder="1" applyAlignment="1">
      <alignment horizontal="center" vertical="center"/>
    </xf>
    <xf numFmtId="6" fontId="11" fillId="0" borderId="89" xfId="58" applyFont="1" applyBorder="1" applyAlignment="1">
      <alignment horizontal="center" vertical="center"/>
    </xf>
    <xf numFmtId="6" fontId="11" fillId="0" borderId="43" xfId="58" applyFont="1" applyFill="1" applyBorder="1" applyAlignment="1">
      <alignment horizontal="center" vertical="center"/>
    </xf>
    <xf numFmtId="176" fontId="7" fillId="0" borderId="40" xfId="0" applyNumberFormat="1" applyFont="1" applyBorder="1" applyAlignment="1">
      <alignment horizontal="center" vertical="center" textRotation="255" wrapText="1"/>
    </xf>
    <xf numFmtId="176" fontId="7" fillId="0" borderId="101" xfId="0" applyNumberFormat="1" applyFont="1" applyBorder="1" applyAlignment="1">
      <alignment horizontal="center" vertical="center" textRotation="255" wrapText="1"/>
    </xf>
    <xf numFmtId="176" fontId="7" fillId="0" borderId="87" xfId="0" applyNumberFormat="1" applyFont="1" applyBorder="1" applyAlignment="1">
      <alignment horizontal="center" vertical="center" textRotation="255" wrapText="1"/>
    </xf>
    <xf numFmtId="176" fontId="7" fillId="0" borderId="90" xfId="0" applyNumberFormat="1" applyFont="1" applyBorder="1" applyAlignment="1">
      <alignment horizontal="center" vertical="center" textRotation="255" wrapText="1"/>
    </xf>
    <xf numFmtId="176" fontId="7" fillId="0" borderId="60" xfId="0" applyNumberFormat="1" applyFont="1" applyBorder="1" applyAlignment="1">
      <alignment horizontal="center" vertical="center" textRotation="255" wrapText="1"/>
    </xf>
    <xf numFmtId="176" fontId="7" fillId="0" borderId="89" xfId="0" applyNumberFormat="1" applyFont="1" applyBorder="1" applyAlignment="1">
      <alignment horizontal="center" vertical="center" textRotation="255" wrapText="1"/>
    </xf>
    <xf numFmtId="0" fontId="0" fillId="0" borderId="40" xfId="0" applyBorder="1" applyAlignment="1">
      <alignment horizontal="center" vertical="center"/>
    </xf>
    <xf numFmtId="0" fontId="0" fillId="0" borderId="87" xfId="0" applyBorder="1" applyAlignment="1">
      <alignment horizontal="center" vertical="center"/>
    </xf>
    <xf numFmtId="0" fontId="0" fillId="0" borderId="60" xfId="0" applyBorder="1" applyAlignment="1">
      <alignment horizontal="center" vertical="center"/>
    </xf>
    <xf numFmtId="6" fontId="11" fillId="0" borderId="37" xfId="58" applyFont="1" applyBorder="1" applyAlignment="1">
      <alignment horizontal="center" vertical="center"/>
    </xf>
    <xf numFmtId="0" fontId="0" fillId="0" borderId="10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6" fillId="41" borderId="74" xfId="0" applyFont="1" applyFill="1" applyBorder="1" applyAlignment="1">
      <alignment horizontal="center" vertical="center"/>
    </xf>
    <xf numFmtId="0" fontId="6" fillId="41" borderId="93" xfId="0" applyFont="1" applyFill="1" applyBorder="1" applyAlignment="1">
      <alignment horizontal="center" vertical="center"/>
    </xf>
    <xf numFmtId="0" fontId="6" fillId="41" borderId="114" xfId="0" applyFont="1" applyFill="1" applyBorder="1" applyAlignment="1">
      <alignment horizontal="center" vertical="center"/>
    </xf>
    <xf numFmtId="0" fontId="0" fillId="0" borderId="34"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133"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89" xfId="0" applyBorder="1" applyAlignment="1">
      <alignment horizontal="center" vertical="center" wrapText="1" shrinkToFit="1"/>
    </xf>
    <xf numFmtId="6" fontId="11" fillId="0" borderId="43" xfId="58" applyFont="1" applyBorder="1" applyAlignment="1">
      <alignment horizontal="center" vertical="center"/>
    </xf>
    <xf numFmtId="0" fontId="0" fillId="0" borderId="136" xfId="0" applyBorder="1" applyAlignment="1">
      <alignment horizontal="center" vertical="center" textRotation="255"/>
    </xf>
    <xf numFmtId="6" fontId="11" fillId="0" borderId="48" xfId="58" applyFont="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6" fontId="8" fillId="0" borderId="139" xfId="58" applyNumberFormat="1" applyFont="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6" fontId="8" fillId="0" borderId="22" xfId="58" applyNumberFormat="1" applyFont="1" applyBorder="1" applyAlignment="1">
      <alignment horizontal="center" vertical="center"/>
    </xf>
    <xf numFmtId="6" fontId="8" fillId="0" borderId="91" xfId="58" applyNumberFormat="1" applyFont="1" applyBorder="1" applyAlignment="1">
      <alignment horizontal="center" vertical="center"/>
    </xf>
    <xf numFmtId="6" fontId="8" fillId="0" borderId="84" xfId="58" applyNumberFormat="1" applyFont="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shrinkToFit="1"/>
    </xf>
    <xf numFmtId="0" fontId="0" fillId="0" borderId="143" xfId="0"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91" xfId="0" applyFill="1" applyBorder="1" applyAlignment="1">
      <alignment horizontal="center" vertical="center"/>
    </xf>
    <xf numFmtId="0" fontId="0" fillId="0" borderId="84" xfId="0" applyFill="1" applyBorder="1" applyAlignment="1">
      <alignment horizontal="center" vertical="center"/>
    </xf>
    <xf numFmtId="0" fontId="0" fillId="0" borderId="115" xfId="0" applyFill="1" applyBorder="1" applyAlignment="1">
      <alignment horizontal="center" vertical="center"/>
    </xf>
    <xf numFmtId="0" fontId="0" fillId="0" borderId="146" xfId="0" applyFill="1" applyBorder="1" applyAlignment="1">
      <alignment horizontal="center" vertical="center"/>
    </xf>
    <xf numFmtId="0" fontId="0" fillId="0" borderId="56" xfId="0" applyFill="1" applyBorder="1" applyAlignment="1">
      <alignment horizontal="center" vertical="center"/>
    </xf>
    <xf numFmtId="0" fontId="0" fillId="0" borderId="69" xfId="0" applyFill="1" applyBorder="1" applyAlignment="1">
      <alignment horizontal="center" vertical="center"/>
    </xf>
    <xf numFmtId="0" fontId="0" fillId="0" borderId="28" xfId="0" applyBorder="1" applyAlignment="1">
      <alignment horizontal="center" vertical="center" shrinkToFit="1"/>
    </xf>
    <xf numFmtId="0" fontId="0" fillId="0" borderId="20" xfId="0" applyBorder="1" applyAlignment="1">
      <alignment horizontal="center" vertical="center" shrinkToFit="1"/>
    </xf>
    <xf numFmtId="0" fontId="0" fillId="0" borderId="142"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145" xfId="0" applyBorder="1" applyAlignment="1">
      <alignment horizontal="center" vertical="center" shrinkToFit="1"/>
    </xf>
    <xf numFmtId="0" fontId="0" fillId="0" borderId="73"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51" xfId="0" applyFill="1" applyBorder="1" applyAlignment="1">
      <alignment horizontal="center" vertical="center"/>
    </xf>
    <xf numFmtId="0" fontId="0" fillId="0" borderId="63" xfId="0" applyFill="1" applyBorder="1" applyAlignment="1">
      <alignment horizontal="center" vertical="center"/>
    </xf>
    <xf numFmtId="0" fontId="0" fillId="0" borderId="51" xfId="0" applyBorder="1" applyAlignment="1">
      <alignment horizontal="center" vertical="center" shrinkToFit="1"/>
    </xf>
    <xf numFmtId="0" fontId="0" fillId="0" borderId="147" xfId="0" applyBorder="1" applyAlignment="1">
      <alignment horizontal="center" vertical="center" shrinkToFit="1"/>
    </xf>
    <xf numFmtId="6" fontId="0" fillId="0" borderId="142" xfId="58" applyFont="1" applyFill="1" applyBorder="1" applyAlignment="1">
      <alignment horizontal="center" vertical="center"/>
    </xf>
    <xf numFmtId="6" fontId="0" fillId="0" borderId="72" xfId="58" applyFont="1" applyFill="1" applyBorder="1" applyAlignment="1">
      <alignment horizontal="center" vertical="center"/>
    </xf>
    <xf numFmtId="6" fontId="0" fillId="0" borderId="146" xfId="58" applyFont="1" applyFill="1" applyBorder="1" applyAlignment="1">
      <alignment horizontal="center" vertical="center"/>
    </xf>
    <xf numFmtId="6" fontId="8" fillId="0" borderId="142" xfId="58" applyNumberFormat="1" applyFont="1" applyBorder="1" applyAlignment="1">
      <alignment horizontal="center" vertical="center"/>
    </xf>
    <xf numFmtId="6" fontId="8" fillId="0" borderId="143" xfId="58" applyNumberFormat="1" applyFont="1" applyBorder="1" applyAlignment="1">
      <alignment horizontal="center" vertical="center"/>
    </xf>
    <xf numFmtId="0" fontId="0" fillId="0" borderId="72" xfId="0" applyFill="1" applyBorder="1" applyAlignment="1">
      <alignment horizontal="center" vertical="center"/>
    </xf>
    <xf numFmtId="0" fontId="0" fillId="0" borderId="62" xfId="0" applyFill="1" applyBorder="1" applyAlignment="1">
      <alignment horizontal="center" vertical="center"/>
    </xf>
    <xf numFmtId="0" fontId="0" fillId="0" borderId="28"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91" xfId="0" applyBorder="1" applyAlignment="1">
      <alignment horizontal="center" vertical="center" shrinkToFit="1"/>
    </xf>
    <xf numFmtId="0" fontId="0" fillId="0" borderId="84" xfId="0" applyBorder="1" applyAlignment="1">
      <alignment horizontal="center" vertical="center" shrinkToFit="1"/>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6" fontId="8" fillId="0" borderId="140" xfId="58" applyNumberFormat="1" applyFont="1" applyBorder="1" applyAlignment="1">
      <alignment horizontal="center" vertical="center"/>
    </xf>
    <xf numFmtId="6" fontId="8" fillId="0" borderId="141" xfId="58" applyNumberFormat="1" applyFont="1" applyBorder="1" applyAlignment="1">
      <alignment horizontal="center" vertical="center"/>
    </xf>
    <xf numFmtId="0" fontId="0" fillId="0" borderId="91" xfId="0" applyBorder="1" applyAlignment="1">
      <alignment horizontal="center" vertical="center"/>
    </xf>
    <xf numFmtId="0" fontId="0" fillId="0" borderId="84" xfId="0" applyBorder="1" applyAlignment="1">
      <alignment horizontal="center" vertical="center"/>
    </xf>
    <xf numFmtId="0" fontId="7" fillId="0" borderId="0" xfId="0" applyFont="1" applyFill="1" applyBorder="1" applyAlignment="1">
      <alignment horizontal="left" vertical="center"/>
    </xf>
    <xf numFmtId="0" fontId="0" fillId="0" borderId="0" xfId="0" applyAlignment="1">
      <alignment horizontal="left" vertical="center"/>
    </xf>
    <xf numFmtId="0" fontId="0" fillId="0" borderId="51" xfId="0" applyBorder="1" applyAlignment="1">
      <alignment horizontal="center" vertical="center"/>
    </xf>
    <xf numFmtId="0" fontId="0" fillId="0" borderId="63" xfId="0" applyBorder="1" applyAlignment="1">
      <alignment horizontal="center" vertical="center"/>
    </xf>
    <xf numFmtId="0" fontId="0" fillId="0" borderId="22" xfId="0" applyBorder="1" applyAlignment="1">
      <alignment horizontal="center" vertical="center"/>
    </xf>
    <xf numFmtId="0" fontId="0" fillId="0" borderId="110" xfId="0" applyBorder="1" applyAlignment="1">
      <alignment horizontal="center" vertical="center"/>
    </xf>
    <xf numFmtId="0" fontId="0" fillId="0" borderId="75" xfId="0" applyBorder="1" applyAlignment="1">
      <alignment horizontal="center" vertical="center"/>
    </xf>
    <xf numFmtId="0" fontId="0" fillId="0" borderId="113" xfId="0" applyBorder="1" applyAlignment="1">
      <alignment horizontal="center" vertical="center"/>
    </xf>
    <xf numFmtId="0" fontId="0" fillId="0" borderId="129" xfId="0" applyBorder="1" applyAlignment="1">
      <alignment horizontal="center" vertical="center" shrinkToFit="1"/>
    </xf>
    <xf numFmtId="0" fontId="0" fillId="0" borderId="128" xfId="0" applyBorder="1" applyAlignment="1">
      <alignment horizontal="center" vertical="center" shrinkToFit="1"/>
    </xf>
    <xf numFmtId="6" fontId="8" fillId="0" borderId="146" xfId="58" applyNumberFormat="1" applyFont="1" applyBorder="1" applyAlignment="1">
      <alignment horizontal="center" vertical="center"/>
    </xf>
    <xf numFmtId="6" fontId="8" fillId="0" borderId="56" xfId="58" applyNumberFormat="1" applyFont="1" applyBorder="1" applyAlignment="1">
      <alignment horizontal="center" vertical="center"/>
    </xf>
    <xf numFmtId="6" fontId="8" fillId="0" borderId="69" xfId="58" applyNumberFormat="1" applyFont="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7"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9" fillId="0" borderId="74" xfId="0" applyFont="1" applyBorder="1" applyAlignment="1">
      <alignment horizontal="center" vertical="center"/>
    </xf>
    <xf numFmtId="0" fontId="9" fillId="0" borderId="93" xfId="0" applyFont="1" applyBorder="1" applyAlignment="1">
      <alignment horizontal="center" vertical="center"/>
    </xf>
    <xf numFmtId="0" fontId="9" fillId="0" borderId="114" xfId="0" applyFont="1" applyBorder="1" applyAlignment="1">
      <alignment horizontal="center" vertical="center"/>
    </xf>
    <xf numFmtId="0" fontId="9" fillId="0" borderId="0" xfId="0" applyFont="1" applyBorder="1" applyAlignment="1">
      <alignment horizontal="center" vertical="center"/>
    </xf>
    <xf numFmtId="0" fontId="11" fillId="0" borderId="108" xfId="0" applyFont="1" applyBorder="1" applyAlignment="1">
      <alignment horizontal="center" vertical="center"/>
    </xf>
    <xf numFmtId="0" fontId="11" fillId="0" borderId="152" xfId="0" applyFont="1" applyBorder="1" applyAlignment="1">
      <alignment horizontal="center" vertical="center"/>
    </xf>
    <xf numFmtId="0" fontId="11" fillId="0" borderId="74" xfId="0" applyFont="1" applyBorder="1" applyAlignment="1">
      <alignment horizontal="center" vertical="center" wrapText="1"/>
    </xf>
    <xf numFmtId="0" fontId="11" fillId="0" borderId="93" xfId="0" applyFont="1" applyBorder="1" applyAlignment="1">
      <alignment horizontal="center" vertical="center" wrapText="1"/>
    </xf>
    <xf numFmtId="0" fontId="0" fillId="0" borderId="103" xfId="0"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50" xfId="0" applyBorder="1" applyAlignment="1">
      <alignment horizontal="center" vertical="center" wrapText="1"/>
    </xf>
    <xf numFmtId="0" fontId="0" fillId="0" borderId="117" xfId="0" applyBorder="1" applyAlignment="1">
      <alignment horizontal="center" vertical="center" wrapText="1"/>
    </xf>
    <xf numFmtId="0" fontId="0" fillId="0" borderId="31" xfId="0" applyBorder="1" applyAlignment="1">
      <alignment horizontal="center" vertical="center" wrapText="1"/>
    </xf>
    <xf numFmtId="0" fontId="17" fillId="0" borderId="57" xfId="0" applyFont="1" applyBorder="1" applyAlignment="1">
      <alignment horizontal="center" vertical="center" shrinkToFit="1"/>
    </xf>
    <xf numFmtId="0" fontId="17" fillId="0" borderId="106" xfId="0" applyFont="1" applyBorder="1" applyAlignment="1">
      <alignment horizontal="center" vertical="center" shrinkToFit="1"/>
    </xf>
    <xf numFmtId="0" fontId="7" fillId="0" borderId="23"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87" xfId="0" applyBorder="1" applyAlignment="1">
      <alignment vertical="center"/>
    </xf>
    <xf numFmtId="0" fontId="0" fillId="0" borderId="60" xfId="0" applyBorder="1" applyAlignment="1">
      <alignment vertical="center"/>
    </xf>
    <xf numFmtId="0" fontId="0" fillId="0" borderId="57" xfId="0" applyBorder="1" applyAlignment="1">
      <alignment vertical="center"/>
    </xf>
    <xf numFmtId="0" fontId="0" fillId="0" borderId="106" xfId="0" applyBorder="1" applyAlignment="1">
      <alignment vertical="center"/>
    </xf>
    <xf numFmtId="6" fontId="0" fillId="0" borderId="40" xfId="58" applyNumberFormat="1" applyFont="1" applyBorder="1" applyAlignment="1">
      <alignment horizontal="center" vertical="center"/>
    </xf>
    <xf numFmtId="6" fontId="0" fillId="0" borderId="101" xfId="58" applyNumberFormat="1" applyFont="1" applyBorder="1" applyAlignment="1">
      <alignment horizontal="center" vertical="center"/>
    </xf>
    <xf numFmtId="6" fontId="0" fillId="0" borderId="23" xfId="58" applyFont="1" applyFill="1" applyBorder="1" applyAlignment="1">
      <alignment horizontal="center" vertical="center"/>
    </xf>
    <xf numFmtId="6" fontId="0" fillId="0" borderId="63" xfId="58" applyFont="1" applyFill="1" applyBorder="1" applyAlignment="1">
      <alignment horizontal="center" vertical="center"/>
    </xf>
    <xf numFmtId="6" fontId="0" fillId="0" borderId="22" xfId="58" applyFont="1" applyFill="1" applyBorder="1" applyAlignment="1">
      <alignment horizontal="center" vertical="center"/>
    </xf>
    <xf numFmtId="6" fontId="0" fillId="0" borderId="52" xfId="58" applyFont="1" applyBorder="1" applyAlignment="1">
      <alignment horizontal="center" vertical="center" wrapText="1"/>
    </xf>
    <xf numFmtId="6" fontId="0" fillId="0" borderId="57" xfId="58" applyFont="1" applyBorder="1" applyAlignment="1">
      <alignment horizontal="center" vertical="center" wrapText="1"/>
    </xf>
    <xf numFmtId="6" fontId="0" fillId="0" borderId="106" xfId="58" applyFont="1" applyBorder="1" applyAlignment="1">
      <alignment horizontal="center" vertical="center" wrapText="1"/>
    </xf>
    <xf numFmtId="6" fontId="0" fillId="0" borderId="23" xfId="58" applyNumberFormat="1" applyFont="1" applyBorder="1" applyAlignment="1">
      <alignment horizontal="center" vertical="center"/>
    </xf>
    <xf numFmtId="6" fontId="0" fillId="0" borderId="26" xfId="58" applyNumberFormat="1" applyFont="1" applyBorder="1" applyAlignment="1">
      <alignment horizontal="center" vertical="center"/>
    </xf>
    <xf numFmtId="6" fontId="0" fillId="0" borderId="77" xfId="58" applyNumberFormat="1" applyFont="1" applyBorder="1" applyAlignment="1">
      <alignment horizontal="center" vertical="center"/>
    </xf>
    <xf numFmtId="6" fontId="0" fillId="0" borderId="116" xfId="58" applyNumberFormat="1" applyFont="1" applyBorder="1" applyAlignment="1">
      <alignment horizontal="center" vertical="center"/>
    </xf>
    <xf numFmtId="0" fontId="9" fillId="0" borderId="38" xfId="0" applyFont="1" applyFill="1" applyBorder="1" applyAlignment="1">
      <alignment horizontal="center" vertical="center"/>
    </xf>
    <xf numFmtId="0" fontId="11" fillId="0" borderId="74" xfId="0" applyFont="1" applyBorder="1" applyAlignment="1">
      <alignment horizontal="center" vertical="center"/>
    </xf>
    <xf numFmtId="0" fontId="11" fillId="0" borderId="93" xfId="0" applyFont="1" applyBorder="1" applyAlignment="1">
      <alignment horizontal="center" vertical="center"/>
    </xf>
    <xf numFmtId="0" fontId="11" fillId="0" borderId="131" xfId="0" applyFont="1" applyBorder="1" applyAlignment="1">
      <alignment horizontal="center" vertical="center"/>
    </xf>
    <xf numFmtId="0" fontId="0" fillId="0" borderId="118" xfId="0" applyFont="1" applyBorder="1" applyAlignment="1">
      <alignment horizontal="center" vertical="center" textRotation="255"/>
    </xf>
    <xf numFmtId="0" fontId="0" fillId="0" borderId="119" xfId="0" applyFont="1" applyBorder="1" applyAlignment="1">
      <alignment horizontal="center" vertical="center" textRotation="255"/>
    </xf>
    <xf numFmtId="6" fontId="0" fillId="0" borderId="95" xfId="58" applyFont="1" applyFill="1" applyBorder="1" applyAlignment="1">
      <alignment horizontal="center" vertical="center"/>
    </xf>
    <xf numFmtId="6" fontId="0" fillId="0" borderId="153" xfId="58" applyFont="1" applyFill="1" applyBorder="1" applyAlignment="1">
      <alignment horizontal="center" vertical="center"/>
    </xf>
    <xf numFmtId="6" fontId="0" fillId="0" borderId="154" xfId="58" applyFont="1" applyFill="1" applyBorder="1" applyAlignment="1">
      <alignment horizontal="center" vertical="center"/>
    </xf>
    <xf numFmtId="5" fontId="0" fillId="0" borderId="23" xfId="58" applyNumberFormat="1" applyFont="1" applyFill="1" applyBorder="1" applyAlignment="1">
      <alignment horizontal="center" vertical="center"/>
    </xf>
    <xf numFmtId="5" fontId="0" fillId="0" borderId="63" xfId="58" applyNumberFormat="1" applyFont="1" applyFill="1" applyBorder="1" applyAlignment="1">
      <alignment horizontal="center" vertical="center"/>
    </xf>
    <xf numFmtId="5" fontId="0" fillId="0" borderId="22" xfId="58" applyNumberFormat="1" applyFont="1" applyFill="1" applyBorder="1" applyAlignment="1">
      <alignment horizontal="center" vertical="center"/>
    </xf>
    <xf numFmtId="0" fontId="8" fillId="0" borderId="27" xfId="0" applyFont="1" applyFill="1" applyBorder="1" applyAlignment="1">
      <alignment horizontal="center" vertical="center" shrinkToFit="1"/>
    </xf>
    <xf numFmtId="0" fontId="8" fillId="0" borderId="63" xfId="0" applyFont="1" applyFill="1" applyBorder="1" applyAlignment="1">
      <alignment horizontal="center" vertical="center" shrinkToFit="1"/>
    </xf>
    <xf numFmtId="0" fontId="0" fillId="0" borderId="120" xfId="0" applyFont="1" applyBorder="1" applyAlignment="1">
      <alignment horizontal="center" vertical="center" textRotation="255"/>
    </xf>
    <xf numFmtId="6" fontId="0" fillId="0" borderId="95" xfId="58" applyFont="1" applyBorder="1" applyAlignment="1">
      <alignment horizontal="center" vertical="center"/>
    </xf>
    <xf numFmtId="6" fontId="0" fillId="0" borderId="153" xfId="58" applyFont="1" applyBorder="1" applyAlignment="1">
      <alignment horizontal="center" vertical="center"/>
    </xf>
    <xf numFmtId="6" fontId="0" fillId="0" borderId="154" xfId="58" applyFont="1" applyBorder="1" applyAlignment="1">
      <alignment horizontal="center" vertical="center"/>
    </xf>
    <xf numFmtId="0" fontId="5" fillId="0" borderId="112" xfId="0" applyFont="1" applyBorder="1" applyAlignment="1">
      <alignment horizontal="center" vertical="center"/>
    </xf>
    <xf numFmtId="0" fontId="5" fillId="0" borderId="32" xfId="0" applyFont="1" applyBorder="1" applyAlignment="1">
      <alignment horizontal="center" vertical="center"/>
    </xf>
    <xf numFmtId="0" fontId="5" fillId="0" borderId="155" xfId="0" applyFont="1" applyBorder="1" applyAlignment="1">
      <alignment horizontal="center" vertical="center"/>
    </xf>
    <xf numFmtId="6" fontId="0" fillId="0" borderId="23" xfId="58" applyFont="1" applyBorder="1" applyAlignment="1">
      <alignment horizontal="center" vertical="center"/>
    </xf>
    <xf numFmtId="6" fontId="0" fillId="0" borderId="63" xfId="58" applyFont="1" applyBorder="1" applyAlignment="1">
      <alignment horizontal="center" vertical="center"/>
    </xf>
    <xf numFmtId="6" fontId="0" fillId="0" borderId="22" xfId="58" applyFont="1" applyBorder="1" applyAlignment="1">
      <alignment horizontal="center" vertical="center"/>
    </xf>
    <xf numFmtId="0" fontId="8" fillId="37" borderId="61" xfId="0" applyFont="1" applyFill="1" applyBorder="1" applyAlignment="1">
      <alignment horizontal="center" vertical="center"/>
    </xf>
    <xf numFmtId="0" fontId="8" fillId="37" borderId="62" xfId="0" applyFont="1" applyFill="1" applyBorder="1" applyAlignment="1">
      <alignment horizontal="center" vertical="center"/>
    </xf>
    <xf numFmtId="0" fontId="8" fillId="37" borderId="25" xfId="0" applyFont="1" applyFill="1" applyBorder="1" applyAlignment="1">
      <alignment horizontal="center" vertical="center"/>
    </xf>
    <xf numFmtId="0" fontId="15" fillId="0" borderId="74" xfId="0" applyFont="1" applyBorder="1" applyAlignment="1">
      <alignment horizontal="center" vertical="center"/>
    </xf>
    <xf numFmtId="0" fontId="15" fillId="0" borderId="93" xfId="0" applyFont="1" applyBorder="1" applyAlignment="1">
      <alignment horizontal="center" vertical="center"/>
    </xf>
    <xf numFmtId="0" fontId="15" fillId="0" borderId="114" xfId="0" applyFont="1" applyBorder="1" applyAlignment="1">
      <alignment horizontal="center" vertical="center"/>
    </xf>
    <xf numFmtId="0" fontId="8" fillId="0" borderId="27" xfId="0" applyFont="1" applyBorder="1" applyAlignment="1">
      <alignment horizontal="center" vertical="center"/>
    </xf>
    <xf numFmtId="0" fontId="8" fillId="0" borderId="63" xfId="0" applyFont="1" applyBorder="1" applyAlignment="1">
      <alignment horizontal="center" vertical="center"/>
    </xf>
    <xf numFmtId="0" fontId="8" fillId="0" borderId="26" xfId="0" applyFont="1" applyBorder="1" applyAlignment="1">
      <alignment horizontal="center" vertical="center"/>
    </xf>
    <xf numFmtId="6" fontId="0" fillId="0" borderId="23" xfId="58" applyFont="1" applyFill="1" applyBorder="1" applyAlignment="1">
      <alignment horizontal="center" vertical="center"/>
    </xf>
    <xf numFmtId="6" fontId="0" fillId="0" borderId="63" xfId="58" applyFont="1" applyFill="1" applyBorder="1" applyAlignment="1">
      <alignment horizontal="center" vertical="center"/>
    </xf>
    <xf numFmtId="6" fontId="0" fillId="0" borderId="22" xfId="58" applyFont="1" applyFill="1" applyBorder="1" applyAlignment="1">
      <alignment horizontal="center" vertical="center"/>
    </xf>
    <xf numFmtId="0" fontId="0" fillId="0" borderId="23" xfId="0" applyBorder="1" applyAlignment="1">
      <alignment horizontal="center" vertical="center"/>
    </xf>
    <xf numFmtId="0" fontId="8" fillId="0" borderId="156" xfId="0" applyFont="1" applyFill="1" applyBorder="1" applyAlignment="1">
      <alignment horizontal="center" vertical="center"/>
    </xf>
    <xf numFmtId="0" fontId="8" fillId="0" borderId="153" xfId="0" applyFont="1" applyFill="1" applyBorder="1" applyAlignment="1">
      <alignment horizontal="center" vertical="center"/>
    </xf>
    <xf numFmtId="0" fontId="8" fillId="0" borderId="105"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27"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27"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26" xfId="0" applyFont="1" applyBorder="1" applyAlignment="1">
      <alignment horizontal="center" vertical="center" shrinkToFit="1"/>
    </xf>
    <xf numFmtId="6" fontId="0" fillId="0" borderId="77" xfId="58" applyFont="1" applyBorder="1" applyAlignment="1">
      <alignment horizontal="center" vertical="center"/>
    </xf>
    <xf numFmtId="6" fontId="0" fillId="0" borderId="75" xfId="58" applyFont="1" applyBorder="1" applyAlignment="1">
      <alignment horizontal="center" vertical="center"/>
    </xf>
    <xf numFmtId="6" fontId="0" fillId="0" borderId="113" xfId="58" applyFont="1" applyBorder="1" applyAlignment="1">
      <alignment horizontal="center" vertical="center"/>
    </xf>
    <xf numFmtId="0" fontId="8" fillId="0" borderId="156" xfId="0" applyFont="1" applyBorder="1" applyAlignment="1">
      <alignment horizontal="center" vertical="center"/>
    </xf>
    <xf numFmtId="0" fontId="8" fillId="0" borderId="153" xfId="0" applyFont="1" applyBorder="1" applyAlignment="1">
      <alignment horizontal="center" vertical="center"/>
    </xf>
    <xf numFmtId="0" fontId="8" fillId="0" borderId="157" xfId="0" applyFont="1" applyBorder="1" applyAlignment="1">
      <alignment horizontal="center" vertical="center"/>
    </xf>
    <xf numFmtId="0" fontId="8" fillId="0" borderId="75" xfId="0" applyFont="1" applyBorder="1" applyAlignment="1">
      <alignment horizontal="center" vertical="center"/>
    </xf>
    <xf numFmtId="0" fontId="0" fillId="0" borderId="27" xfId="0" applyBorder="1" applyAlignment="1">
      <alignment horizontal="center" vertical="center"/>
    </xf>
    <xf numFmtId="0" fontId="11" fillId="0" borderId="115" xfId="0" applyFont="1" applyBorder="1" applyAlignment="1">
      <alignment horizontal="center" vertical="center"/>
    </xf>
    <xf numFmtId="0" fontId="11" fillId="0" borderId="72" xfId="0" applyFont="1" applyBorder="1" applyAlignment="1">
      <alignment horizontal="center" vertical="center"/>
    </xf>
    <xf numFmtId="0" fontId="11" fillId="0" borderId="125" xfId="0" applyFont="1" applyBorder="1" applyAlignment="1">
      <alignment horizontal="center" vertical="center"/>
    </xf>
    <xf numFmtId="0" fontId="11" fillId="0" borderId="87" xfId="0" applyFont="1" applyBorder="1" applyAlignment="1">
      <alignment horizontal="center" vertical="center"/>
    </xf>
    <xf numFmtId="0" fontId="11" fillId="0" borderId="0" xfId="0" applyFont="1" applyBorder="1" applyAlignment="1">
      <alignment horizontal="center" vertical="center"/>
    </xf>
    <xf numFmtId="0" fontId="11" fillId="0" borderId="90" xfId="0" applyFont="1" applyBorder="1" applyAlignment="1">
      <alignment horizontal="center" vertical="center"/>
    </xf>
    <xf numFmtId="0" fontId="11" fillId="0" borderId="56" xfId="0" applyFont="1" applyBorder="1" applyAlignment="1">
      <alignment horizontal="center" vertical="center"/>
    </xf>
    <xf numFmtId="0" fontId="11" fillId="0" borderId="62" xfId="0" applyFont="1" applyBorder="1" applyAlignment="1">
      <alignment horizontal="center" vertical="center"/>
    </xf>
    <xf numFmtId="0" fontId="11" fillId="0" borderId="25" xfId="0" applyFont="1" applyBorder="1" applyAlignment="1">
      <alignment horizontal="center" vertical="center"/>
    </xf>
    <xf numFmtId="0" fontId="0" fillId="0" borderId="115" xfId="0" applyBorder="1" applyAlignment="1">
      <alignment horizontal="center" vertical="center" wrapText="1"/>
    </xf>
    <xf numFmtId="0" fontId="0" fillId="0" borderId="125" xfId="0" applyBorder="1" applyAlignment="1">
      <alignment horizontal="center" vertical="center" wrapText="1"/>
    </xf>
    <xf numFmtId="0" fontId="15" fillId="0" borderId="52" xfId="0" applyFont="1" applyBorder="1" applyAlignment="1">
      <alignment horizontal="center" vertical="center" shrinkToFit="1"/>
    </xf>
    <xf numFmtId="0" fontId="15" fillId="0" borderId="57" xfId="0" applyFont="1" applyBorder="1" applyAlignment="1">
      <alignment horizontal="center" vertical="center" shrinkToFit="1"/>
    </xf>
    <xf numFmtId="0" fontId="15" fillId="0" borderId="106" xfId="0" applyFont="1" applyBorder="1" applyAlignment="1">
      <alignment horizontal="center" vertical="center" shrinkToFit="1"/>
    </xf>
    <xf numFmtId="0" fontId="11" fillId="0" borderId="114" xfId="0" applyFont="1" applyBorder="1" applyAlignment="1">
      <alignment horizontal="center" vertical="center"/>
    </xf>
    <xf numFmtId="0" fontId="0" fillId="0" borderId="35" xfId="0" applyBorder="1" applyAlignment="1">
      <alignment horizontal="center" vertical="center" wrapText="1"/>
    </xf>
    <xf numFmtId="0" fontId="11" fillId="0" borderId="33" xfId="0" applyFont="1" applyBorder="1" applyAlignment="1">
      <alignment horizontal="center" vertical="center"/>
    </xf>
    <xf numFmtId="0" fontId="11" fillId="0" borderId="39" xfId="0" applyFont="1" applyBorder="1" applyAlignment="1">
      <alignment horizontal="center" vertical="center"/>
    </xf>
    <xf numFmtId="0" fontId="11" fillId="0" borderId="101" xfId="0" applyFont="1" applyBorder="1" applyAlignment="1">
      <alignment horizontal="center" vertical="center"/>
    </xf>
    <xf numFmtId="0" fontId="11" fillId="0" borderId="88" xfId="0" applyFont="1" applyBorder="1" applyAlignment="1">
      <alignment horizontal="right" vertical="center"/>
    </xf>
    <xf numFmtId="0" fontId="11" fillId="0" borderId="102" xfId="0" applyFont="1" applyBorder="1" applyAlignment="1">
      <alignment horizontal="right" vertical="center"/>
    </xf>
    <xf numFmtId="0" fontId="15" fillId="0" borderId="131" xfId="0" applyFont="1" applyBorder="1" applyAlignment="1">
      <alignment horizontal="right" vertical="center"/>
    </xf>
    <xf numFmtId="5" fontId="0" fillId="0" borderId="23" xfId="58" applyNumberFormat="1" applyFont="1" applyFill="1" applyBorder="1" applyAlignment="1">
      <alignment horizontal="center" vertical="center"/>
    </xf>
    <xf numFmtId="5" fontId="0" fillId="0" borderId="22" xfId="58" applyNumberFormat="1" applyFont="1" applyFill="1" applyBorder="1" applyAlignment="1">
      <alignment horizontal="center" vertical="center"/>
    </xf>
    <xf numFmtId="0" fontId="8" fillId="0" borderId="26" xfId="0" applyFont="1" applyFill="1" applyBorder="1" applyAlignment="1">
      <alignment horizontal="center" vertical="center"/>
    </xf>
    <xf numFmtId="6" fontId="0" fillId="0" borderId="26" xfId="58" applyFont="1" applyFill="1" applyBorder="1" applyAlignment="1">
      <alignment horizontal="center" vertical="center"/>
    </xf>
    <xf numFmtId="0" fontId="8" fillId="37" borderId="27" xfId="0" applyFont="1" applyFill="1" applyBorder="1" applyAlignment="1">
      <alignment horizontal="center" vertical="center"/>
    </xf>
    <xf numFmtId="0" fontId="8" fillId="37" borderId="63" xfId="0" applyFont="1" applyFill="1" applyBorder="1" applyAlignment="1">
      <alignment horizontal="center" vertical="center"/>
    </xf>
    <xf numFmtId="0" fontId="8" fillId="37" borderId="26" xfId="0" applyFont="1" applyFill="1" applyBorder="1" applyAlignment="1">
      <alignment horizontal="center" vertical="center"/>
    </xf>
    <xf numFmtId="0" fontId="0" fillId="0" borderId="158"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6" fontId="0" fillId="0" borderId="161" xfId="58" applyFont="1" applyBorder="1" applyAlignment="1">
      <alignment horizontal="center" vertical="center"/>
    </xf>
    <xf numFmtId="6" fontId="0" fillId="0" borderId="162" xfId="58" applyFont="1" applyBorder="1" applyAlignment="1">
      <alignment horizontal="center" vertical="center"/>
    </xf>
    <xf numFmtId="0" fontId="8" fillId="0" borderId="163" xfId="0" applyFont="1" applyBorder="1" applyAlignment="1">
      <alignment horizontal="center" vertical="center" shrinkToFit="1"/>
    </xf>
    <xf numFmtId="5" fontId="0" fillId="0" borderId="26" xfId="58" applyNumberFormat="1" applyFont="1" applyFill="1" applyBorder="1" applyAlignment="1">
      <alignment horizontal="center" vertical="center"/>
    </xf>
    <xf numFmtId="6" fontId="0" fillId="0" borderId="164" xfId="58" applyFont="1" applyFill="1" applyBorder="1" applyAlignment="1">
      <alignment horizontal="center" vertical="center"/>
    </xf>
    <xf numFmtId="0" fontId="0" fillId="0" borderId="26" xfId="0" applyBorder="1" applyAlignment="1">
      <alignment horizontal="center" vertical="center"/>
    </xf>
    <xf numFmtId="0" fontId="8" fillId="0" borderId="26" xfId="0" applyFont="1" applyFill="1" applyBorder="1" applyAlignment="1">
      <alignment horizontal="center" vertical="center" shrinkToFit="1"/>
    </xf>
    <xf numFmtId="0" fontId="8" fillId="0" borderId="164" xfId="0" applyFont="1" applyFill="1" applyBorder="1" applyAlignment="1">
      <alignment horizontal="center" vertical="center"/>
    </xf>
    <xf numFmtId="0" fontId="8" fillId="0" borderId="164" xfId="0" applyFont="1" applyBorder="1" applyAlignment="1">
      <alignment horizontal="center" vertical="center"/>
    </xf>
    <xf numFmtId="0" fontId="8" fillId="0" borderId="1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65" xfId="0" applyFont="1" applyBorder="1" applyAlignment="1">
      <alignment horizontal="center" vertical="center"/>
    </xf>
    <xf numFmtId="0" fontId="8" fillId="0" borderId="155" xfId="0" applyFont="1" applyBorder="1" applyAlignment="1">
      <alignment horizontal="center" vertical="center"/>
    </xf>
    <xf numFmtId="6" fontId="0" fillId="0" borderId="163" xfId="58" applyFont="1" applyBorder="1" applyAlignment="1">
      <alignment horizontal="center" vertical="center"/>
    </xf>
    <xf numFmtId="6" fontId="0" fillId="0" borderId="26" xfId="58" applyFont="1" applyFill="1" applyBorder="1" applyAlignment="1">
      <alignment horizontal="center" vertical="center"/>
    </xf>
    <xf numFmtId="0" fontId="17" fillId="0" borderId="118" xfId="0" applyFont="1" applyBorder="1" applyAlignment="1">
      <alignment horizontal="center" vertical="center" textRotation="255" shrinkToFit="1"/>
    </xf>
    <xf numFmtId="0" fontId="17" fillId="0" borderId="119" xfId="0" applyFont="1" applyBorder="1" applyAlignment="1">
      <alignment horizontal="center" vertical="center" textRotation="255" shrinkToFit="1"/>
    </xf>
    <xf numFmtId="0" fontId="17" fillId="0" borderId="120" xfId="0" applyFont="1" applyBorder="1" applyAlignment="1">
      <alignment horizontal="center" vertical="center" textRotation="255" shrinkToFit="1"/>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7" fillId="0" borderId="166" xfId="0" applyFont="1" applyBorder="1" applyAlignment="1">
      <alignment vertical="center"/>
    </xf>
    <xf numFmtId="0" fontId="7" fillId="0" borderId="72" xfId="0" applyFont="1" applyBorder="1" applyAlignment="1">
      <alignment vertical="center"/>
    </xf>
    <xf numFmtId="0" fontId="0" fillId="0" borderId="166" xfId="0" applyBorder="1" applyAlignment="1">
      <alignment horizontal="center" vertical="center"/>
    </xf>
    <xf numFmtId="0" fontId="0" fillId="0" borderId="146" xfId="0" applyBorder="1" applyAlignment="1">
      <alignment horizontal="center" vertical="center"/>
    </xf>
    <xf numFmtId="0" fontId="6" fillId="42" borderId="74" xfId="0" applyFont="1" applyFill="1" applyBorder="1" applyAlignment="1">
      <alignment horizontal="center" vertical="center"/>
    </xf>
    <xf numFmtId="0" fontId="6" fillId="0" borderId="114" xfId="0" applyFont="1" applyBorder="1" applyAlignment="1">
      <alignment horizontal="center" vertical="center"/>
    </xf>
    <xf numFmtId="0" fontId="6" fillId="36" borderId="0" xfId="0" applyFont="1" applyFill="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6" fontId="8" fillId="0" borderId="54" xfId="58" applyFont="1" applyFill="1" applyBorder="1" applyAlignment="1">
      <alignment horizontal="center" vertical="center"/>
    </xf>
    <xf numFmtId="6" fontId="8" fillId="0" borderId="58" xfId="58" applyFont="1" applyFill="1" applyBorder="1" applyAlignment="1">
      <alignment horizontal="center" vertical="center"/>
    </xf>
    <xf numFmtId="6" fontId="8" fillId="0" borderId="44" xfId="58" applyFont="1" applyFill="1" applyBorder="1" applyAlignment="1">
      <alignment horizontal="center" vertical="center"/>
    </xf>
    <xf numFmtId="0" fontId="0" fillId="0" borderId="36" xfId="0" applyBorder="1" applyAlignment="1">
      <alignment horizontal="center" vertical="center"/>
    </xf>
    <xf numFmtId="38" fontId="0" fillId="0" borderId="166" xfId="50" applyFont="1" applyBorder="1" applyAlignment="1">
      <alignment horizontal="center" vertical="center"/>
    </xf>
    <xf numFmtId="38" fontId="0" fillId="0" borderId="34" xfId="50" applyFont="1" applyBorder="1" applyAlignment="1">
      <alignment horizontal="center" vertical="center"/>
    </xf>
    <xf numFmtId="38" fontId="0" fillId="0" borderId="61" xfId="50" applyFont="1" applyBorder="1" applyAlignment="1">
      <alignment horizontal="center" vertical="center"/>
    </xf>
    <xf numFmtId="6" fontId="8" fillId="0" borderId="99" xfId="58" applyFont="1" applyFill="1" applyBorder="1" applyAlignment="1">
      <alignment horizontal="center"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3" xfId="0" applyFont="1" applyBorder="1" applyAlignment="1">
      <alignment horizontal="center" vertical="center" shrinkToFit="1"/>
    </xf>
    <xf numFmtId="6" fontId="0" fillId="0" borderId="13" xfId="58" applyNumberFormat="1" applyFont="1" applyBorder="1" applyAlignment="1">
      <alignment horizontal="center" vertical="center"/>
    </xf>
    <xf numFmtId="6" fontId="0" fillId="0" borderId="42" xfId="58" applyNumberFormat="1" applyFont="1" applyBorder="1" applyAlignment="1">
      <alignment horizontal="center" vertical="center"/>
    </xf>
    <xf numFmtId="0" fontId="7" fillId="0" borderId="34" xfId="0" applyFont="1" applyBorder="1" applyAlignment="1">
      <alignment horizontal="center" vertical="center" wrapText="1"/>
    </xf>
    <xf numFmtId="0" fontId="15" fillId="0" borderId="167" xfId="0" applyFont="1" applyBorder="1" applyAlignment="1">
      <alignment horizontal="center" vertical="center" shrinkToFit="1"/>
    </xf>
    <xf numFmtId="0" fontId="15" fillId="0" borderId="168" xfId="0" applyFont="1" applyBorder="1" applyAlignment="1">
      <alignment horizontal="center" vertical="center" shrinkToFit="1"/>
    </xf>
    <xf numFmtId="0" fontId="0" fillId="0" borderId="11" xfId="0" applyFont="1" applyBorder="1" applyAlignment="1">
      <alignment horizontal="center" vertical="center" shrinkToFit="1"/>
    </xf>
    <xf numFmtId="6" fontId="0" fillId="0" borderId="11" xfId="58" applyNumberFormat="1" applyFont="1" applyBorder="1" applyAlignment="1">
      <alignment horizontal="center" vertical="center"/>
    </xf>
    <xf numFmtId="6" fontId="0" fillId="0" borderId="45" xfId="58" applyNumberFormat="1" applyFont="1" applyBorder="1" applyAlignment="1">
      <alignment horizontal="center" vertical="center"/>
    </xf>
    <xf numFmtId="6" fontId="0" fillId="0" borderId="27" xfId="58" applyFont="1" applyBorder="1" applyAlignment="1">
      <alignment horizontal="center" vertical="center"/>
    </xf>
    <xf numFmtId="6" fontId="0" fillId="0" borderId="157" xfId="58" applyFont="1" applyBorder="1" applyAlignment="1">
      <alignment horizontal="center" vertical="center"/>
    </xf>
    <xf numFmtId="0" fontId="0" fillId="0" borderId="27" xfId="0" applyBorder="1" applyAlignment="1">
      <alignment horizontal="left" vertical="center"/>
    </xf>
    <xf numFmtId="0" fontId="0" fillId="0" borderId="63" xfId="0" applyBorder="1" applyAlignment="1">
      <alignment horizontal="left" vertical="center"/>
    </xf>
    <xf numFmtId="0" fontId="0" fillId="0" borderId="167" xfId="0" applyBorder="1" applyAlignment="1">
      <alignment horizontal="center" vertical="center"/>
    </xf>
    <xf numFmtId="6" fontId="11" fillId="37" borderId="13" xfId="58" applyFont="1" applyFill="1" applyBorder="1" applyAlignment="1">
      <alignment horizontal="center" vertical="center"/>
    </xf>
    <xf numFmtId="6" fontId="11" fillId="37" borderId="42" xfId="58" applyFont="1" applyFill="1" applyBorder="1" applyAlignment="1">
      <alignment horizontal="center" vertical="center"/>
    </xf>
    <xf numFmtId="0" fontId="0" fillId="0" borderId="39" xfId="0" applyBorder="1" applyAlignment="1">
      <alignment horizontal="center" vertical="center"/>
    </xf>
    <xf numFmtId="0" fontId="15" fillId="0" borderId="131" xfId="0" applyFont="1" applyBorder="1" applyAlignment="1">
      <alignment horizontal="center" vertical="center"/>
    </xf>
    <xf numFmtId="0" fontId="6" fillId="36" borderId="38" xfId="0" applyFont="1" applyFill="1" applyBorder="1" applyAlignment="1">
      <alignment horizontal="left" vertical="center"/>
    </xf>
    <xf numFmtId="0" fontId="6" fillId="36" borderId="169" xfId="0" applyFont="1" applyFill="1" applyBorder="1" applyAlignment="1">
      <alignment horizontal="center" vertical="center"/>
    </xf>
    <xf numFmtId="0" fontId="6" fillId="36" borderId="43" xfId="0" applyFont="1" applyFill="1" applyBorder="1" applyAlignment="1">
      <alignment horizontal="center" vertical="center"/>
    </xf>
    <xf numFmtId="0" fontId="0" fillId="0" borderId="0" xfId="0" applyFont="1" applyFill="1" applyBorder="1" applyAlignment="1">
      <alignment vertical="center" shrinkToFit="1"/>
    </xf>
    <xf numFmtId="0" fontId="0" fillId="0" borderId="22" xfId="0" applyBorder="1" applyAlignment="1">
      <alignment horizontal="left" vertical="center"/>
    </xf>
    <xf numFmtId="0" fontId="0" fillId="0" borderId="30" xfId="0" applyBorder="1" applyAlignment="1">
      <alignment horizontal="left" vertical="center"/>
    </xf>
    <xf numFmtId="0" fontId="0" fillId="0" borderId="44" xfId="0" applyBorder="1" applyAlignment="1">
      <alignment horizontal="left" vertical="center"/>
    </xf>
    <xf numFmtId="0" fontId="0" fillId="0" borderId="26" xfId="0" applyBorder="1" applyAlignment="1">
      <alignment horizontal="left" vertical="center"/>
    </xf>
    <xf numFmtId="0" fontId="0" fillId="0" borderId="42" xfId="0" applyBorder="1" applyAlignment="1">
      <alignment horizontal="left" vertical="center"/>
    </xf>
    <xf numFmtId="6" fontId="0" fillId="0" borderId="61" xfId="58" applyFont="1" applyBorder="1" applyAlignment="1">
      <alignment horizontal="center" vertical="center"/>
    </xf>
    <xf numFmtId="6" fontId="0" fillId="0" borderId="69" xfId="58" applyFont="1" applyBorder="1" applyAlignment="1">
      <alignment horizontal="center" vertical="center"/>
    </xf>
    <xf numFmtId="0" fontId="0" fillId="0" borderId="105" xfId="0" applyBorder="1" applyAlignment="1">
      <alignment horizontal="center" vertical="center"/>
    </xf>
    <xf numFmtId="0" fontId="0" fillId="0" borderId="162" xfId="0" applyBorder="1" applyAlignment="1">
      <alignment horizontal="center" vertical="center"/>
    </xf>
    <xf numFmtId="0" fontId="0" fillId="0" borderId="76" xfId="0" applyBorder="1" applyAlignment="1">
      <alignment horizontal="center" vertical="center"/>
    </xf>
    <xf numFmtId="0" fontId="0" fillId="0" borderId="70" xfId="0" applyBorder="1" applyAlignment="1">
      <alignment horizontal="center" vertical="center"/>
    </xf>
    <xf numFmtId="0" fontId="0" fillId="0" borderId="139" xfId="0" applyBorder="1" applyAlignment="1">
      <alignment horizontal="center" vertical="center"/>
    </xf>
    <xf numFmtId="0" fontId="0" fillId="36" borderId="139" xfId="0" applyFont="1" applyFill="1" applyBorder="1" applyAlignment="1">
      <alignment horizontal="left" vertical="center"/>
    </xf>
    <xf numFmtId="0" fontId="0" fillId="36" borderId="170" xfId="0" applyFont="1" applyFill="1" applyBorder="1" applyAlignment="1">
      <alignment horizontal="left" vertical="center"/>
    </xf>
    <xf numFmtId="6" fontId="0" fillId="36" borderId="92" xfId="58" applyFont="1" applyFill="1" applyBorder="1" applyAlignment="1">
      <alignment horizontal="center" vertical="center"/>
    </xf>
    <xf numFmtId="6" fontId="0" fillId="36" borderId="139" xfId="58" applyFont="1" applyFill="1" applyBorder="1" applyAlignment="1">
      <alignment horizontal="center" vertical="center"/>
    </xf>
    <xf numFmtId="0" fontId="0" fillId="36" borderId="167" xfId="0" applyFont="1" applyFill="1" applyBorder="1" applyAlignment="1">
      <alignment horizontal="center" vertical="center"/>
    </xf>
    <xf numFmtId="0" fontId="0" fillId="36" borderId="13" xfId="0" applyFont="1" applyFill="1" applyBorder="1" applyAlignment="1">
      <alignment horizontal="center" vertical="center"/>
    </xf>
    <xf numFmtId="0" fontId="7" fillId="0" borderId="168" xfId="0" applyFont="1" applyBorder="1" applyAlignment="1">
      <alignment horizontal="center" vertical="center"/>
    </xf>
    <xf numFmtId="0" fontId="7" fillId="0" borderId="11" xfId="0" applyFont="1"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167" xfId="0" applyBorder="1" applyAlignment="1">
      <alignment horizontal="left" vertical="center"/>
    </xf>
    <xf numFmtId="6" fontId="16" fillId="0" borderId="13" xfId="58" applyFont="1" applyBorder="1" applyAlignment="1">
      <alignment horizontal="center" vertical="center"/>
    </xf>
    <xf numFmtId="0" fontId="0" fillId="0" borderId="168" xfId="0" applyBorder="1" applyAlignment="1">
      <alignment horizontal="left" vertical="center"/>
    </xf>
    <xf numFmtId="0" fontId="0" fillId="0" borderId="45" xfId="0" applyBorder="1" applyAlignment="1">
      <alignment horizontal="left" vertical="center"/>
    </xf>
    <xf numFmtId="0" fontId="13" fillId="0" borderId="13" xfId="0" applyFont="1" applyBorder="1" applyAlignment="1">
      <alignment horizontal="center" vertical="center"/>
    </xf>
    <xf numFmtId="0" fontId="0" fillId="0" borderId="157" xfId="0" applyBorder="1" applyAlignment="1">
      <alignment horizontal="left" vertical="center"/>
    </xf>
    <xf numFmtId="0" fontId="0" fillId="0" borderId="75" xfId="0" applyBorder="1" applyAlignment="1">
      <alignment horizontal="left" vertical="center"/>
    </xf>
    <xf numFmtId="0" fontId="0" fillId="0" borderId="0" xfId="0" applyFont="1" applyFill="1" applyBorder="1" applyAlignment="1">
      <alignment horizontal="center" vertical="center" shrinkToFit="1"/>
    </xf>
    <xf numFmtId="6" fontId="0" fillId="0" borderId="54" xfId="58" applyFont="1" applyBorder="1" applyAlignment="1">
      <alignment horizontal="center" vertical="center"/>
    </xf>
    <xf numFmtId="6" fontId="0" fillId="0" borderId="58" xfId="58" applyFont="1" applyBorder="1" applyAlignment="1">
      <alignment horizontal="center" vertical="center"/>
    </xf>
    <xf numFmtId="6" fontId="0" fillId="0" borderId="44" xfId="58" applyFont="1" applyBorder="1" applyAlignment="1">
      <alignment horizontal="center" vertical="center"/>
    </xf>
    <xf numFmtId="0" fontId="7" fillId="0" borderId="157" xfId="0" applyFont="1" applyBorder="1" applyAlignment="1">
      <alignment horizontal="center" vertical="center"/>
    </xf>
    <xf numFmtId="0" fontId="7" fillId="0" borderId="75" xfId="0" applyFont="1" applyBorder="1" applyAlignment="1">
      <alignment horizontal="center" vertical="center"/>
    </xf>
    <xf numFmtId="0" fontId="7" fillId="0" borderId="116" xfId="0" applyFont="1" applyBorder="1" applyAlignment="1">
      <alignment horizontal="center" vertical="center"/>
    </xf>
    <xf numFmtId="0" fontId="0" fillId="36" borderId="92"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121" xfId="0" applyFont="1" applyFill="1" applyBorder="1" applyAlignment="1">
      <alignment horizontal="center" vertical="center"/>
    </xf>
    <xf numFmtId="0" fontId="6" fillId="36" borderId="38" xfId="0" applyFont="1" applyFill="1" applyBorder="1" applyAlignment="1">
      <alignment horizontal="center" vertical="center"/>
    </xf>
    <xf numFmtId="6" fontId="0" fillId="0" borderId="99" xfId="58" applyFont="1" applyBorder="1" applyAlignment="1">
      <alignment horizontal="center" vertical="center"/>
    </xf>
    <xf numFmtId="0" fontId="0" fillId="0" borderId="43" xfId="0" applyFont="1" applyBorder="1" applyAlignment="1">
      <alignment horizontal="center" vertical="center" shrinkToFit="1"/>
    </xf>
    <xf numFmtId="0" fontId="7" fillId="0" borderId="101" xfId="0" applyFont="1" applyBorder="1" applyAlignment="1">
      <alignment horizontal="center" vertical="center" wrapText="1"/>
    </xf>
    <xf numFmtId="0" fontId="0" fillId="0" borderId="69" xfId="0" applyBorder="1" applyAlignment="1">
      <alignment horizontal="center" vertical="center"/>
    </xf>
    <xf numFmtId="0" fontId="15" fillId="0" borderId="169" xfId="0" applyFont="1" applyBorder="1" applyAlignment="1">
      <alignment horizontal="center" vertical="center" shrinkToFit="1"/>
    </xf>
    <xf numFmtId="6" fontId="0" fillId="0" borderId="43" xfId="58" applyNumberFormat="1" applyFont="1" applyBorder="1" applyAlignment="1">
      <alignment horizontal="center" vertical="center"/>
    </xf>
    <xf numFmtId="6" fontId="0" fillId="0" borderId="55" xfId="58" applyNumberFormat="1" applyFont="1" applyBorder="1" applyAlignment="1">
      <alignment horizontal="center" vertical="center"/>
    </xf>
    <xf numFmtId="0" fontId="0" fillId="0" borderId="118" xfId="0" applyBorder="1" applyAlignment="1">
      <alignment horizontal="center" vertical="center" textRotation="255" shrinkToFit="1"/>
    </xf>
    <xf numFmtId="0" fontId="0" fillId="0" borderId="119" xfId="0" applyBorder="1" applyAlignment="1">
      <alignment horizontal="center" vertical="center" textRotation="255" shrinkToFit="1"/>
    </xf>
    <xf numFmtId="0" fontId="7" fillId="0" borderId="27" xfId="0" applyFont="1" applyBorder="1" applyAlignment="1">
      <alignment vertical="center"/>
    </xf>
    <xf numFmtId="0" fontId="7" fillId="0" borderId="22" xfId="0" applyFont="1" applyBorder="1" applyAlignment="1">
      <alignment vertical="center"/>
    </xf>
    <xf numFmtId="6" fontId="6" fillId="0" borderId="52" xfId="58" applyFont="1" applyBorder="1" applyAlignment="1">
      <alignment horizontal="center" vertical="center" wrapText="1"/>
    </xf>
    <xf numFmtId="6" fontId="6" fillId="0" borderId="57" xfId="58" applyFont="1" applyBorder="1" applyAlignment="1">
      <alignment horizontal="center" vertical="center" wrapText="1"/>
    </xf>
    <xf numFmtId="6" fontId="6" fillId="0" borderId="106" xfId="58" applyFont="1" applyBorder="1" applyAlignment="1">
      <alignment horizontal="center" vertical="center" wrapText="1"/>
    </xf>
    <xf numFmtId="0" fontId="5" fillId="0" borderId="23" xfId="0" applyFont="1" applyBorder="1" applyAlignment="1">
      <alignment horizontal="center" vertical="center"/>
    </xf>
    <xf numFmtId="0" fontId="5" fillId="0" borderId="63" xfId="0" applyFont="1" applyBorder="1" applyAlignment="1">
      <alignment horizontal="center" vertical="center"/>
    </xf>
    <xf numFmtId="0" fontId="5" fillId="0" borderId="26" xfId="0" applyFont="1" applyBorder="1" applyAlignment="1">
      <alignment horizontal="center" vertical="center"/>
    </xf>
    <xf numFmtId="0" fontId="7" fillId="0" borderId="115" xfId="0" applyFont="1" applyBorder="1" applyAlignment="1">
      <alignment horizontal="center" vertical="center" wrapText="1"/>
    </xf>
    <xf numFmtId="6" fontId="9" fillId="0" borderId="115" xfId="58" applyNumberFormat="1" applyFont="1" applyBorder="1" applyAlignment="1">
      <alignment horizontal="center" vertical="center"/>
    </xf>
    <xf numFmtId="6" fontId="9" fillId="0" borderId="125" xfId="58" applyNumberFormat="1" applyFont="1" applyBorder="1" applyAlignment="1">
      <alignment horizontal="center" vertical="center"/>
    </xf>
    <xf numFmtId="6" fontId="9" fillId="0" borderId="87" xfId="58" applyNumberFormat="1" applyFont="1" applyBorder="1" applyAlignment="1">
      <alignment horizontal="center" vertical="center"/>
    </xf>
    <xf numFmtId="6" fontId="9" fillId="0" borderId="90" xfId="58" applyNumberFormat="1" applyFont="1" applyBorder="1" applyAlignment="1">
      <alignment horizontal="center" vertical="center"/>
    </xf>
    <xf numFmtId="6" fontId="9" fillId="0" borderId="60" xfId="58" applyNumberFormat="1" applyFont="1" applyBorder="1" applyAlignment="1">
      <alignment horizontal="center" vertical="center"/>
    </xf>
    <xf numFmtId="6" fontId="9" fillId="0" borderId="89" xfId="58" applyNumberFormat="1" applyFont="1" applyBorder="1" applyAlignment="1">
      <alignment horizontal="center" vertical="center"/>
    </xf>
    <xf numFmtId="6" fontId="6" fillId="0" borderId="40" xfId="58" applyFont="1" applyBorder="1" applyAlignment="1">
      <alignment horizontal="center" vertical="center" wrapText="1"/>
    </xf>
    <xf numFmtId="6" fontId="6" fillId="0" borderId="87" xfId="58" applyFont="1" applyBorder="1" applyAlignment="1">
      <alignment horizontal="center" vertical="center" wrapText="1"/>
    </xf>
    <xf numFmtId="6" fontId="6" fillId="0" borderId="60" xfId="58" applyFont="1" applyBorder="1" applyAlignment="1">
      <alignment horizontal="center" vertical="center" wrapText="1"/>
    </xf>
    <xf numFmtId="0" fontId="7" fillId="0" borderId="50" xfId="0" applyFont="1" applyBorder="1" applyAlignment="1">
      <alignment horizontal="center" vertical="center" wrapText="1"/>
    </xf>
    <xf numFmtId="0" fontId="5" fillId="0" borderId="92" xfId="0" applyFont="1" applyBorder="1" applyAlignment="1">
      <alignment horizontal="center" vertical="center"/>
    </xf>
    <xf numFmtId="0" fontId="5" fillId="0" borderId="70" xfId="0" applyFont="1" applyBorder="1" applyAlignment="1">
      <alignment horizontal="center" vertical="center"/>
    </xf>
    <xf numFmtId="0" fontId="5" fillId="0" borderId="12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9"/>
  </sheetPr>
  <dimension ref="B1:AB133"/>
  <sheetViews>
    <sheetView zoomScaleSheetLayoutView="41" workbookViewId="0" topLeftCell="P76">
      <selection activeCell="A1" sqref="A1:AC89"/>
    </sheetView>
  </sheetViews>
  <sheetFormatPr defaultColWidth="9.00390625" defaultRowHeight="13.5"/>
  <cols>
    <col min="1" max="1" width="2.625" style="0" customWidth="1"/>
    <col min="2" max="2" width="3.625" style="13" customWidth="1"/>
    <col min="3" max="3" width="5.625" style="0" customWidth="1"/>
    <col min="4" max="4" width="3.75390625" style="0" customWidth="1"/>
    <col min="5" max="5" width="4.125" style="0" customWidth="1"/>
    <col min="6" max="6" width="6.125" style="0" customWidth="1"/>
    <col min="7" max="7" width="7.00390625" style="0" customWidth="1"/>
    <col min="8" max="8" width="9.125" style="0" customWidth="1"/>
    <col min="9" max="9" width="9.375" style="0" customWidth="1"/>
    <col min="10" max="10" width="18.75390625" style="0" customWidth="1"/>
    <col min="11" max="11" width="9.625" style="13" bestFit="1" customWidth="1"/>
    <col min="12" max="14" width="10.50390625" style="0" customWidth="1"/>
    <col min="15" max="16" width="14.625" style="0" customWidth="1"/>
    <col min="17" max="17" width="6.00390625" style="0" customWidth="1"/>
    <col min="18" max="19" width="5.125" style="0" customWidth="1"/>
    <col min="20" max="21" width="8.125" style="0" customWidth="1"/>
    <col min="25" max="25" width="27.375" style="0" customWidth="1"/>
    <col min="26" max="26" width="11.50390625" style="0" customWidth="1"/>
    <col min="27" max="28" width="11.625" style="0" customWidth="1"/>
  </cols>
  <sheetData>
    <row r="1" spans="3:16" ht="18.75">
      <c r="C1" s="1"/>
      <c r="D1" s="1"/>
      <c r="E1" s="1"/>
      <c r="F1" s="1"/>
      <c r="G1" s="2" t="s">
        <v>0</v>
      </c>
      <c r="H1" s="2"/>
      <c r="I1" s="3" t="s">
        <v>1</v>
      </c>
      <c r="J1" s="2"/>
      <c r="K1" s="117"/>
      <c r="L1" s="3"/>
      <c r="M1" s="3"/>
      <c r="P1" s="4"/>
    </row>
    <row r="2" spans="9:16" ht="15" customHeight="1" thickBot="1">
      <c r="I2" s="114"/>
      <c r="J2" s="113"/>
      <c r="N2" s="253" t="s">
        <v>473</v>
      </c>
      <c r="O2" s="5"/>
      <c r="P2" s="4"/>
    </row>
    <row r="3" spans="6:16" ht="18" customHeight="1" thickBot="1">
      <c r="F3" s="527" t="s">
        <v>2</v>
      </c>
      <c r="G3" s="528"/>
      <c r="H3" s="529"/>
      <c r="I3" s="114"/>
      <c r="J3" s="249" t="s">
        <v>3</v>
      </c>
      <c r="K3" s="6"/>
      <c r="L3" s="7"/>
      <c r="M3" s="7"/>
      <c r="N3" s="7"/>
      <c r="P3" s="4"/>
    </row>
    <row r="4" spans="6:16" ht="9" customHeight="1" thickBot="1">
      <c r="F4" s="6"/>
      <c r="G4" s="79"/>
      <c r="H4" s="79"/>
      <c r="I4" s="115"/>
      <c r="J4" s="115"/>
      <c r="K4" s="6"/>
      <c r="L4" s="7"/>
      <c r="M4" s="7"/>
      <c r="N4" s="7"/>
      <c r="P4" s="4"/>
    </row>
    <row r="5" spans="7:16" ht="15" customHeight="1" thickBot="1">
      <c r="G5" s="77"/>
      <c r="H5" s="445" t="s">
        <v>72</v>
      </c>
      <c r="I5" s="446"/>
      <c r="J5" s="446"/>
      <c r="K5" s="447"/>
      <c r="L5" s="445" t="s">
        <v>76</v>
      </c>
      <c r="M5" s="447"/>
      <c r="N5" s="351" t="s">
        <v>71</v>
      </c>
      <c r="P5" s="4"/>
    </row>
    <row r="6" spans="3:16" ht="27" customHeight="1" thickBot="1">
      <c r="C6" s="506" t="s">
        <v>4</v>
      </c>
      <c r="D6" s="507"/>
      <c r="E6" s="507"/>
      <c r="F6" s="354" t="s">
        <v>5</v>
      </c>
      <c r="G6" s="364" t="s">
        <v>6</v>
      </c>
      <c r="H6" s="524" t="s">
        <v>456</v>
      </c>
      <c r="I6" s="525"/>
      <c r="J6" s="525"/>
      <c r="K6" s="526"/>
      <c r="L6" s="354" t="s">
        <v>9</v>
      </c>
      <c r="M6" s="354" t="s">
        <v>10</v>
      </c>
      <c r="N6" s="354" t="s">
        <v>11</v>
      </c>
      <c r="O6" s="355" t="s">
        <v>12</v>
      </c>
      <c r="P6" s="365" t="s">
        <v>467</v>
      </c>
    </row>
    <row r="7" spans="2:28" ht="27" customHeight="1">
      <c r="B7" s="485" t="s">
        <v>468</v>
      </c>
      <c r="C7" s="545" t="s">
        <v>457</v>
      </c>
      <c r="D7" s="548" t="s">
        <v>471</v>
      </c>
      <c r="E7" s="549"/>
      <c r="F7" s="424" t="s">
        <v>15</v>
      </c>
      <c r="G7" s="9">
        <v>1</v>
      </c>
      <c r="H7" s="477">
        <f>ROUNDUP(($Y$12+$Z$12+$AA$12+$AB$12)*$Z$31*$Z$37,0)</f>
        <v>968</v>
      </c>
      <c r="I7" s="478"/>
      <c r="J7" s="478"/>
      <c r="K7" s="479"/>
      <c r="L7" s="540">
        <v>1360</v>
      </c>
      <c r="M7" s="536">
        <v>370</v>
      </c>
      <c r="N7" s="466">
        <v>100</v>
      </c>
      <c r="O7" s="349">
        <f>+H7+$L$7+$M$7+$N$7</f>
        <v>2798</v>
      </c>
      <c r="P7" s="255">
        <f>O7*$U$25</f>
        <v>83940</v>
      </c>
      <c r="R7" s="468" t="s">
        <v>5</v>
      </c>
      <c r="S7" s="516" t="s">
        <v>6</v>
      </c>
      <c r="T7" s="463" t="s">
        <v>119</v>
      </c>
      <c r="U7" s="460" t="s">
        <v>130</v>
      </c>
      <c r="V7" s="460" t="s">
        <v>371</v>
      </c>
      <c r="W7" s="460"/>
      <c r="X7" s="465" t="s">
        <v>121</v>
      </c>
      <c r="Y7" s="258" t="s">
        <v>7</v>
      </c>
      <c r="Z7" s="460" t="s">
        <v>330</v>
      </c>
      <c r="AA7" s="460" t="s">
        <v>331</v>
      </c>
      <c r="AB7" s="460" t="s">
        <v>475</v>
      </c>
    </row>
    <row r="8" spans="2:28" ht="27" customHeight="1">
      <c r="B8" s="486"/>
      <c r="C8" s="546"/>
      <c r="D8" s="550"/>
      <c r="E8" s="551"/>
      <c r="F8" s="425"/>
      <c r="G8" s="9">
        <v>2</v>
      </c>
      <c r="H8" s="451">
        <f>ROUNDUP(($Y$13+$Z$13+$AA$13+$AB$13)*$Z$31*$Z$37,0)</f>
        <v>1049</v>
      </c>
      <c r="I8" s="452"/>
      <c r="J8" s="452"/>
      <c r="K8" s="453"/>
      <c r="L8" s="541"/>
      <c r="M8" s="537"/>
      <c r="N8" s="449"/>
      <c r="O8" s="140">
        <f>+H8+$L$7+$M$7+$N$7</f>
        <v>2879</v>
      </c>
      <c r="P8" s="110">
        <f aca="true" t="shared" si="0" ref="P8:P15">O8*$U$25</f>
        <v>86370</v>
      </c>
      <c r="R8" s="469"/>
      <c r="S8" s="517"/>
      <c r="T8" s="533"/>
      <c r="U8" s="461"/>
      <c r="V8" s="461"/>
      <c r="W8" s="461"/>
      <c r="X8" s="538"/>
      <c r="Y8" s="259"/>
      <c r="Z8" s="461"/>
      <c r="AA8" s="461"/>
      <c r="AB8" s="461"/>
    </row>
    <row r="9" spans="2:28" ht="27" customHeight="1">
      <c r="B9" s="486"/>
      <c r="C9" s="546"/>
      <c r="D9" s="550"/>
      <c r="E9" s="551"/>
      <c r="F9" s="425"/>
      <c r="G9" s="9">
        <v>3</v>
      </c>
      <c r="H9" s="451">
        <f>ROUNDUP(($Y$14+$Z$14+$AA$14+$AB$14)*$Z$31*$Z$37,0)</f>
        <v>1119</v>
      </c>
      <c r="I9" s="452"/>
      <c r="J9" s="452"/>
      <c r="K9" s="453"/>
      <c r="L9" s="541"/>
      <c r="M9" s="537"/>
      <c r="N9" s="449"/>
      <c r="O9" s="140">
        <f>+H9+$L$7+$M$7+$N$7</f>
        <v>2949</v>
      </c>
      <c r="P9" s="110">
        <f t="shared" si="0"/>
        <v>88470</v>
      </c>
      <c r="R9" s="469"/>
      <c r="S9" s="517"/>
      <c r="T9" s="533"/>
      <c r="U9" s="461"/>
      <c r="V9" s="461"/>
      <c r="W9" s="461"/>
      <c r="X9" s="538"/>
      <c r="Y9" s="260" t="s">
        <v>98</v>
      </c>
      <c r="Z9" s="461"/>
      <c r="AA9" s="461"/>
      <c r="AB9" s="461"/>
    </row>
    <row r="10" spans="2:28" ht="27" customHeight="1">
      <c r="B10" s="486"/>
      <c r="C10" s="546"/>
      <c r="D10" s="550"/>
      <c r="E10" s="551"/>
      <c r="F10" s="425"/>
      <c r="G10" s="9">
        <v>4</v>
      </c>
      <c r="H10" s="451">
        <f>ROUNDUP(($Y$15+$Z$15+$AA$15+$AB$15)*$Z$31*$Z$37,0)</f>
        <v>1182</v>
      </c>
      <c r="I10" s="452"/>
      <c r="J10" s="452"/>
      <c r="K10" s="453"/>
      <c r="L10" s="541"/>
      <c r="M10" s="537"/>
      <c r="N10" s="449"/>
      <c r="O10" s="140">
        <f>+H10+$L$7+$M$7+$N$7</f>
        <v>3012</v>
      </c>
      <c r="P10" s="110">
        <f t="shared" si="0"/>
        <v>90360</v>
      </c>
      <c r="R10" s="469"/>
      <c r="S10" s="517"/>
      <c r="T10" s="533"/>
      <c r="U10" s="461"/>
      <c r="V10" s="461"/>
      <c r="W10" s="461"/>
      <c r="X10" s="538"/>
      <c r="Y10" s="260" t="s">
        <v>8</v>
      </c>
      <c r="Z10" s="461"/>
      <c r="AA10" s="461"/>
      <c r="AB10" s="461"/>
    </row>
    <row r="11" spans="2:28" ht="27" customHeight="1" thickBot="1">
      <c r="B11" s="486"/>
      <c r="C11" s="546"/>
      <c r="D11" s="550"/>
      <c r="E11" s="551"/>
      <c r="F11" s="426"/>
      <c r="G11" s="9">
        <v>5</v>
      </c>
      <c r="H11" s="451">
        <f>ROUNDUP(($Y$16+$Z$16+$AA$16+AB16)*$Z$31*$Z$37,0)</f>
        <v>1241</v>
      </c>
      <c r="I11" s="452"/>
      <c r="J11" s="452"/>
      <c r="K11" s="453"/>
      <c r="L11" s="541"/>
      <c r="M11" s="504"/>
      <c r="N11" s="467"/>
      <c r="O11" s="140">
        <f>+H11+$L$7+$M$7+$N$7</f>
        <v>3071</v>
      </c>
      <c r="P11" s="110">
        <f t="shared" si="0"/>
        <v>92130</v>
      </c>
      <c r="R11" s="470"/>
      <c r="S11" s="518"/>
      <c r="T11" s="534"/>
      <c r="U11" s="462"/>
      <c r="V11" s="462"/>
      <c r="W11" s="462"/>
      <c r="X11" s="539"/>
      <c r="Y11" s="261" t="s">
        <v>95</v>
      </c>
      <c r="Z11" s="462"/>
      <c r="AA11" s="462"/>
      <c r="AB11" s="462"/>
    </row>
    <row r="12" spans="2:28" ht="27" customHeight="1">
      <c r="B12" s="486"/>
      <c r="C12" s="546"/>
      <c r="D12" s="550"/>
      <c r="E12" s="551"/>
      <c r="F12" s="433" t="s">
        <v>16</v>
      </c>
      <c r="G12" s="9">
        <v>1</v>
      </c>
      <c r="H12" s="451">
        <f>ROUNDUP(($Y$17+$Z$17+$AA$17+$AB$17)*$Z$31*$Z$37,0)</f>
        <v>880</v>
      </c>
      <c r="I12" s="452"/>
      <c r="J12" s="452"/>
      <c r="K12" s="453"/>
      <c r="L12" s="541">
        <v>1360</v>
      </c>
      <c r="M12" s="543">
        <v>1310</v>
      </c>
      <c r="N12" s="448">
        <v>100</v>
      </c>
      <c r="O12" s="140">
        <f>+H12+$L$12+$M$12+$N$12</f>
        <v>3650</v>
      </c>
      <c r="P12" s="110">
        <f t="shared" si="0"/>
        <v>109500</v>
      </c>
      <c r="R12" s="522" t="s">
        <v>15</v>
      </c>
      <c r="S12" s="116">
        <v>1</v>
      </c>
      <c r="T12" s="285">
        <v>836</v>
      </c>
      <c r="U12" s="519"/>
      <c r="V12" s="530">
        <v>22</v>
      </c>
      <c r="W12" s="519"/>
      <c r="X12" s="530">
        <v>24</v>
      </c>
      <c r="Y12" s="266">
        <f>+$T$12+$U$12+$V$12+$W$12+$X$12</f>
        <v>882</v>
      </c>
      <c r="Z12" s="269">
        <f>ROUND($Y$12*$Z$25,0)</f>
        <v>34</v>
      </c>
      <c r="AA12" s="136">
        <f>ROUND($Y$12*$Z$27,0)</f>
        <v>19</v>
      </c>
      <c r="AB12" s="136">
        <f>ROUND($Y$12*$Z$29,0)</f>
        <v>7</v>
      </c>
    </row>
    <row r="13" spans="2:28" ht="27" customHeight="1">
      <c r="B13" s="486"/>
      <c r="C13" s="546"/>
      <c r="D13" s="550"/>
      <c r="E13" s="551"/>
      <c r="F13" s="434"/>
      <c r="G13" s="9">
        <v>2</v>
      </c>
      <c r="H13" s="451">
        <f>ROUNDUP(($Y$18+$Z$18+$AA$18+$AB$18)*$Z$31*$Z$37,0)</f>
        <v>959</v>
      </c>
      <c r="I13" s="452"/>
      <c r="J13" s="452"/>
      <c r="K13" s="453"/>
      <c r="L13" s="541"/>
      <c r="M13" s="543"/>
      <c r="N13" s="449"/>
      <c r="O13" s="140">
        <f>+H13+$L$12+$M$12+$N$12</f>
        <v>3729</v>
      </c>
      <c r="P13" s="110">
        <f t="shared" si="0"/>
        <v>111870</v>
      </c>
      <c r="R13" s="523"/>
      <c r="S13" s="9">
        <v>2</v>
      </c>
      <c r="T13" s="286">
        <v>910</v>
      </c>
      <c r="U13" s="520"/>
      <c r="V13" s="531"/>
      <c r="W13" s="520"/>
      <c r="X13" s="531"/>
      <c r="Y13" s="267">
        <f>+$T$13+$U$12+$V$12+$W$12+$X$12</f>
        <v>956</v>
      </c>
      <c r="Z13" s="270">
        <f>ROUND($Y$13*$Z$25,0)</f>
        <v>37</v>
      </c>
      <c r="AA13" s="123">
        <f>ROUND($Y$13*$Z$27,0)</f>
        <v>20</v>
      </c>
      <c r="AB13" s="370">
        <f>ROUND($Y$13*$Z$29,0)</f>
        <v>8</v>
      </c>
    </row>
    <row r="14" spans="2:28" ht="27" customHeight="1">
      <c r="B14" s="486"/>
      <c r="C14" s="546"/>
      <c r="D14" s="550"/>
      <c r="E14" s="551"/>
      <c r="F14" s="434"/>
      <c r="G14" s="9">
        <v>3</v>
      </c>
      <c r="H14" s="451">
        <f>ROUNDUP(($Y$19+$Z$19+$AA$19+$AB$19)*$Z$31*$Z$37,0)</f>
        <v>1027</v>
      </c>
      <c r="I14" s="452"/>
      <c r="J14" s="452"/>
      <c r="K14" s="453"/>
      <c r="L14" s="541"/>
      <c r="M14" s="543"/>
      <c r="N14" s="449"/>
      <c r="O14" s="140">
        <f>+H14+$L$12+$M$12+$N$12</f>
        <v>3797</v>
      </c>
      <c r="P14" s="110">
        <f t="shared" si="0"/>
        <v>113910</v>
      </c>
      <c r="R14" s="523"/>
      <c r="S14" s="9">
        <v>3</v>
      </c>
      <c r="T14" s="286">
        <v>974</v>
      </c>
      <c r="U14" s="520"/>
      <c r="V14" s="531"/>
      <c r="W14" s="520"/>
      <c r="X14" s="531"/>
      <c r="Y14" s="267">
        <f>+$T$14+$U$12+$V$12+$W$12+$X$12</f>
        <v>1020</v>
      </c>
      <c r="Z14" s="270">
        <f>ROUND($Y$14*$Z$25,0)</f>
        <v>40</v>
      </c>
      <c r="AA14" s="123">
        <f>ROUND($Y$14*$Z$27,0)</f>
        <v>21</v>
      </c>
      <c r="AB14" s="370">
        <f>ROUND($Y$14*$Z$29,0)</f>
        <v>8</v>
      </c>
    </row>
    <row r="15" spans="2:28" ht="27" customHeight="1">
      <c r="B15" s="486"/>
      <c r="C15" s="546"/>
      <c r="D15" s="550"/>
      <c r="E15" s="551"/>
      <c r="F15" s="434"/>
      <c r="G15" s="9">
        <v>4</v>
      </c>
      <c r="H15" s="451">
        <f>ROUNDUP(($Y$20+$Z$20+$AA$20+$AB$20)*$Z$31*$Z$37,0)</f>
        <v>1089</v>
      </c>
      <c r="I15" s="452"/>
      <c r="J15" s="452"/>
      <c r="K15" s="453"/>
      <c r="L15" s="541"/>
      <c r="M15" s="543"/>
      <c r="N15" s="449"/>
      <c r="O15" s="140">
        <f>+H15+$L$12+$M$12+$N$12</f>
        <v>3859</v>
      </c>
      <c r="P15" s="110">
        <f t="shared" si="0"/>
        <v>115770</v>
      </c>
      <c r="R15" s="523"/>
      <c r="S15" s="9">
        <v>4</v>
      </c>
      <c r="T15" s="286">
        <v>1030</v>
      </c>
      <c r="U15" s="520"/>
      <c r="V15" s="531"/>
      <c r="W15" s="520"/>
      <c r="X15" s="531"/>
      <c r="Y15" s="267">
        <f>+$T$15+$U$12+$V$12+$W$12+$X$12</f>
        <v>1076</v>
      </c>
      <c r="Z15" s="270">
        <f>ROUND($Y$15*$Z$25,0)</f>
        <v>42</v>
      </c>
      <c r="AA15" s="123">
        <f>ROUND($Y$15*$Z$27,0)</f>
        <v>23</v>
      </c>
      <c r="AB15" s="370">
        <f>ROUND($Y$15*$Z$29,0)</f>
        <v>9</v>
      </c>
    </row>
    <row r="16" spans="2:28" ht="27" customHeight="1" thickBot="1">
      <c r="B16" s="486"/>
      <c r="C16" s="546"/>
      <c r="D16" s="552"/>
      <c r="E16" s="553"/>
      <c r="F16" s="435"/>
      <c r="G16" s="10">
        <v>5</v>
      </c>
      <c r="H16" s="451">
        <f>ROUNDUP(($Y$21+$Z$21+$AA$21+$AB$21)*$Z$31*$Z$37,0)</f>
        <v>1151</v>
      </c>
      <c r="I16" s="452"/>
      <c r="J16" s="452"/>
      <c r="K16" s="453"/>
      <c r="L16" s="542"/>
      <c r="M16" s="544"/>
      <c r="N16" s="450"/>
      <c r="O16" s="347">
        <f>+H16+$L$12+$M$12+$N$12</f>
        <v>3921</v>
      </c>
      <c r="P16" s="142">
        <f>O16*$U$25</f>
        <v>117630</v>
      </c>
      <c r="R16" s="523"/>
      <c r="S16" s="144">
        <v>5</v>
      </c>
      <c r="T16" s="283">
        <v>1085</v>
      </c>
      <c r="U16" s="520"/>
      <c r="V16" s="531"/>
      <c r="W16" s="520"/>
      <c r="X16" s="531"/>
      <c r="Y16" s="268">
        <f>+$T$16+$U$12+$V$12+$W$12++$X$12</f>
        <v>1131</v>
      </c>
      <c r="Z16" s="272">
        <f>ROUND($Y$16*$Z$25,0)</f>
        <v>44</v>
      </c>
      <c r="AA16" s="145">
        <f>ROUND($Y$16*$Z$27,0)</f>
        <v>24</v>
      </c>
      <c r="AB16" s="145">
        <f>ROUND($Y$16*$Z$29,0)</f>
        <v>9</v>
      </c>
    </row>
    <row r="17" spans="2:28" ht="27" customHeight="1">
      <c r="B17" s="486"/>
      <c r="C17" s="546"/>
      <c r="D17" s="548" t="s">
        <v>470</v>
      </c>
      <c r="E17" s="549"/>
      <c r="F17" s="424" t="s">
        <v>15</v>
      </c>
      <c r="G17" s="9">
        <v>1</v>
      </c>
      <c r="H17" s="477">
        <f>ROUNDUP(($Y$12+$Z$12+$AA$12+$AB$12)*$Z$31*$Z$37,0)</f>
        <v>968</v>
      </c>
      <c r="I17" s="478"/>
      <c r="J17" s="478"/>
      <c r="K17" s="479"/>
      <c r="L17" s="557">
        <v>650</v>
      </c>
      <c r="M17" s="536">
        <v>370</v>
      </c>
      <c r="N17" s="466">
        <v>100</v>
      </c>
      <c r="O17" s="349">
        <f>+H17+$L$17+$M$17+$N$17</f>
        <v>2088</v>
      </c>
      <c r="P17" s="255">
        <f aca="true" t="shared" si="1" ref="P17:P25">O17*$U$25</f>
        <v>62640</v>
      </c>
      <c r="R17" s="468" t="s">
        <v>16</v>
      </c>
      <c r="S17" s="116">
        <v>1</v>
      </c>
      <c r="T17" s="286">
        <v>756</v>
      </c>
      <c r="U17" s="520"/>
      <c r="V17" s="531"/>
      <c r="W17" s="520"/>
      <c r="X17" s="531"/>
      <c r="Y17" s="262">
        <f>+$T$17+$U$12+$V$12+$W$12+$X$12</f>
        <v>802</v>
      </c>
      <c r="Z17" s="269">
        <f>ROUND($Y$17*$Z$25,0)</f>
        <v>31</v>
      </c>
      <c r="AA17" s="136">
        <f>ROUND($Y$17*$Z$27,0)</f>
        <v>17</v>
      </c>
      <c r="AB17" s="136">
        <f>ROUND($Y$17*$Z$29,0)</f>
        <v>6</v>
      </c>
    </row>
    <row r="18" spans="2:28" ht="27" customHeight="1">
      <c r="B18" s="486"/>
      <c r="C18" s="546"/>
      <c r="D18" s="550"/>
      <c r="E18" s="551"/>
      <c r="F18" s="425"/>
      <c r="G18" s="9">
        <v>2</v>
      </c>
      <c r="H18" s="451">
        <f>ROUNDUP(($Y$13+$Z$13+$AA$13+$AB$13)*$Z$31*$Z$37,0)</f>
        <v>1049</v>
      </c>
      <c r="I18" s="452"/>
      <c r="J18" s="452"/>
      <c r="K18" s="453"/>
      <c r="L18" s="558"/>
      <c r="M18" s="537"/>
      <c r="N18" s="449"/>
      <c r="O18" s="140">
        <f>+H18+$L$17+$M$17+$N$17</f>
        <v>2169</v>
      </c>
      <c r="P18" s="110">
        <f t="shared" si="1"/>
        <v>65070</v>
      </c>
      <c r="R18" s="469"/>
      <c r="S18" s="9">
        <v>2</v>
      </c>
      <c r="T18" s="286">
        <v>828</v>
      </c>
      <c r="U18" s="520"/>
      <c r="V18" s="531"/>
      <c r="W18" s="520"/>
      <c r="X18" s="531"/>
      <c r="Y18" s="263">
        <f>+$T$18+$U$12+$V$12+$W$12++$X$12</f>
        <v>874</v>
      </c>
      <c r="Z18" s="270">
        <f>ROUND($Y$18*$Z$25,0)</f>
        <v>34</v>
      </c>
      <c r="AA18" s="123">
        <f>ROUND($Y$18*$Z$27,0)</f>
        <v>18</v>
      </c>
      <c r="AB18" s="123">
        <f>ROUND($Y$18*$Z$29,0)</f>
        <v>7</v>
      </c>
    </row>
    <row r="19" spans="2:28" ht="27" customHeight="1">
      <c r="B19" s="486"/>
      <c r="C19" s="546"/>
      <c r="D19" s="550"/>
      <c r="E19" s="551"/>
      <c r="F19" s="425"/>
      <c r="G19" s="9">
        <v>3</v>
      </c>
      <c r="H19" s="451">
        <f>ROUNDUP(($Y$14+$Z$14+$AA$14+$AB$14)*$Z$31*$Z$37,0)</f>
        <v>1119</v>
      </c>
      <c r="I19" s="452"/>
      <c r="J19" s="452"/>
      <c r="K19" s="453"/>
      <c r="L19" s="558"/>
      <c r="M19" s="537"/>
      <c r="N19" s="449"/>
      <c r="O19" s="140">
        <f>+H19+$L$17+$M$17+$N$17</f>
        <v>2239</v>
      </c>
      <c r="P19" s="110">
        <f t="shared" si="1"/>
        <v>67170</v>
      </c>
      <c r="R19" s="469"/>
      <c r="S19" s="9">
        <v>3</v>
      </c>
      <c r="T19" s="286">
        <v>890</v>
      </c>
      <c r="U19" s="520"/>
      <c r="V19" s="531"/>
      <c r="W19" s="520"/>
      <c r="X19" s="531"/>
      <c r="Y19" s="263">
        <f>+$T$19+$U$12+$V$12+$W$12++$X$12</f>
        <v>936</v>
      </c>
      <c r="Z19" s="270">
        <f>ROUND($Y$19*$Z$25,0)</f>
        <v>37</v>
      </c>
      <c r="AA19" s="123">
        <f>ROUND($Y$19*$Z$27,0)</f>
        <v>20</v>
      </c>
      <c r="AB19" s="123">
        <f>ROUND($Y$19*$Z$29,0)</f>
        <v>7</v>
      </c>
    </row>
    <row r="20" spans="2:28" ht="27" customHeight="1">
      <c r="B20" s="486"/>
      <c r="C20" s="546"/>
      <c r="D20" s="550"/>
      <c r="E20" s="551"/>
      <c r="F20" s="425"/>
      <c r="G20" s="9">
        <v>4</v>
      </c>
      <c r="H20" s="451">
        <f>ROUNDUP(($Y$15+$Z$15+$AA$15+$AB$15)*$Z$31*$Z$37,0)</f>
        <v>1182</v>
      </c>
      <c r="I20" s="452"/>
      <c r="J20" s="452"/>
      <c r="K20" s="453"/>
      <c r="L20" s="558"/>
      <c r="M20" s="537"/>
      <c r="N20" s="449"/>
      <c r="O20" s="140">
        <f>+H20+$L$17+$M$17+$N$17</f>
        <v>2302</v>
      </c>
      <c r="P20" s="110">
        <f t="shared" si="1"/>
        <v>69060</v>
      </c>
      <c r="R20" s="469"/>
      <c r="S20" s="9">
        <v>4</v>
      </c>
      <c r="T20" s="286">
        <v>946</v>
      </c>
      <c r="U20" s="520"/>
      <c r="V20" s="531"/>
      <c r="W20" s="520"/>
      <c r="X20" s="531"/>
      <c r="Y20" s="263">
        <f>+$T$20+$U$12+$V$12+$W$12++$X$12</f>
        <v>992</v>
      </c>
      <c r="Z20" s="270">
        <f>ROUND($Y$20*$Z$25,0)</f>
        <v>39</v>
      </c>
      <c r="AA20" s="123">
        <f>ROUND($Y$20*$Z$27,0)</f>
        <v>21</v>
      </c>
      <c r="AB20" s="123">
        <f>ROUND($Y$20*$Z$29,0)</f>
        <v>8</v>
      </c>
    </row>
    <row r="21" spans="2:28" ht="27" customHeight="1" thickBot="1">
      <c r="B21" s="486"/>
      <c r="C21" s="546"/>
      <c r="D21" s="550"/>
      <c r="E21" s="551"/>
      <c r="F21" s="426"/>
      <c r="G21" s="9">
        <v>5</v>
      </c>
      <c r="H21" s="451">
        <f>ROUNDUP(($Y$16+$Z$16+$AA$16+$AB$16)*$Z$31*$Z$37,0)</f>
        <v>1241</v>
      </c>
      <c r="I21" s="452"/>
      <c r="J21" s="452"/>
      <c r="K21" s="453"/>
      <c r="L21" s="558"/>
      <c r="M21" s="504"/>
      <c r="N21" s="467"/>
      <c r="O21" s="140">
        <f>+H21+$L$17+$M$17+$N$17</f>
        <v>2361</v>
      </c>
      <c r="P21" s="110">
        <f t="shared" si="1"/>
        <v>70830</v>
      </c>
      <c r="R21" s="470"/>
      <c r="S21" s="10">
        <v>5</v>
      </c>
      <c r="T21" s="293">
        <v>1003</v>
      </c>
      <c r="U21" s="521"/>
      <c r="V21" s="532"/>
      <c r="W21" s="521"/>
      <c r="X21" s="532"/>
      <c r="Y21" s="264">
        <f>+$T$21+$U$12+$V$12+$W$12++$X$12</f>
        <v>1049</v>
      </c>
      <c r="Z21" s="271">
        <f>ROUND($Y$21*$Z$25,0)</f>
        <v>41</v>
      </c>
      <c r="AA21" s="122">
        <f>ROUND($Y$21*$Z$27,0)</f>
        <v>22</v>
      </c>
      <c r="AB21" s="122">
        <f>ROUND($Y$21*$Z$29,0)</f>
        <v>8</v>
      </c>
    </row>
    <row r="22" spans="2:26" ht="27" customHeight="1">
      <c r="B22" s="486"/>
      <c r="C22" s="546"/>
      <c r="D22" s="550"/>
      <c r="E22" s="551"/>
      <c r="F22" s="433" t="s">
        <v>16</v>
      </c>
      <c r="G22" s="9">
        <v>1</v>
      </c>
      <c r="H22" s="451">
        <f>ROUNDUP(($Y$17+$Z$17+$AA$17+$AB$17)*$Z$31*$Z$37,0)</f>
        <v>880</v>
      </c>
      <c r="I22" s="452"/>
      <c r="J22" s="452"/>
      <c r="K22" s="453"/>
      <c r="L22" s="558">
        <v>650</v>
      </c>
      <c r="M22" s="543">
        <v>1310</v>
      </c>
      <c r="N22" s="448">
        <v>100</v>
      </c>
      <c r="O22" s="140">
        <f>+H22+$L$22+$M$22+$N$22</f>
        <v>2940</v>
      </c>
      <c r="P22" s="110">
        <f t="shared" si="1"/>
        <v>88200</v>
      </c>
      <c r="Z22" s="13"/>
    </row>
    <row r="23" spans="2:26" ht="27" customHeight="1">
      <c r="B23" s="486"/>
      <c r="C23" s="546"/>
      <c r="D23" s="550"/>
      <c r="E23" s="551"/>
      <c r="F23" s="434"/>
      <c r="G23" s="9">
        <v>2</v>
      </c>
      <c r="H23" s="451">
        <f>ROUNDUP(($Y$18+$Z$18+$AA$18+$AB$18)*$Z$31*$Z$37,0)</f>
        <v>959</v>
      </c>
      <c r="I23" s="452"/>
      <c r="J23" s="452"/>
      <c r="K23" s="453"/>
      <c r="L23" s="558"/>
      <c r="M23" s="543"/>
      <c r="N23" s="449"/>
      <c r="O23" s="140">
        <f>+H23+$L$22+$M$22+$N$22</f>
        <v>3019</v>
      </c>
      <c r="P23" s="110">
        <f t="shared" si="1"/>
        <v>90570</v>
      </c>
      <c r="Z23" s="13"/>
    </row>
    <row r="24" spans="2:26" ht="27" customHeight="1" thickBot="1">
      <c r="B24" s="486"/>
      <c r="C24" s="546"/>
      <c r="D24" s="550"/>
      <c r="E24" s="551"/>
      <c r="F24" s="434"/>
      <c r="G24" s="9">
        <v>3</v>
      </c>
      <c r="H24" s="451">
        <f>ROUNDUP(($Y$19+$Z$19+$AA$19+$AB$19)*$Z$31*$Z$37,0)</f>
        <v>1027</v>
      </c>
      <c r="I24" s="452"/>
      <c r="J24" s="452"/>
      <c r="K24" s="453"/>
      <c r="L24" s="558"/>
      <c r="M24" s="543"/>
      <c r="N24" s="449"/>
      <c r="O24" s="140">
        <f>+H24+$L$22+$M$22+$N$22</f>
        <v>3087</v>
      </c>
      <c r="P24" s="110">
        <f t="shared" si="1"/>
        <v>92610</v>
      </c>
      <c r="Z24" s="13"/>
    </row>
    <row r="25" spans="2:26" ht="27" customHeight="1" thickBot="1">
      <c r="B25" s="486"/>
      <c r="C25" s="546"/>
      <c r="D25" s="550"/>
      <c r="E25" s="551"/>
      <c r="F25" s="434"/>
      <c r="G25" s="9">
        <v>4</v>
      </c>
      <c r="H25" s="451">
        <f>ROUNDUP(($Y$20+$Z$20+$AA$20+$AB$20)*$Z$31*$Z$37,0)</f>
        <v>1089</v>
      </c>
      <c r="I25" s="452"/>
      <c r="J25" s="452"/>
      <c r="K25" s="453"/>
      <c r="L25" s="558"/>
      <c r="M25" s="543"/>
      <c r="N25" s="449"/>
      <c r="O25" s="140">
        <f>+H25+$L$22+$M$22+$N$22</f>
        <v>3149</v>
      </c>
      <c r="P25" s="110">
        <f t="shared" si="1"/>
        <v>94470</v>
      </c>
      <c r="R25" s="535" t="s">
        <v>326</v>
      </c>
      <c r="S25" s="535"/>
      <c r="T25" s="535"/>
      <c r="U25" s="254">
        <v>30</v>
      </c>
      <c r="Y25" s="273" t="s">
        <v>115</v>
      </c>
      <c r="Z25" s="135">
        <f>39/1000</f>
        <v>0.039</v>
      </c>
    </row>
    <row r="26" spans="2:26" ht="27" customHeight="1" thickBot="1">
      <c r="B26" s="486"/>
      <c r="C26" s="547"/>
      <c r="D26" s="552"/>
      <c r="E26" s="553"/>
      <c r="F26" s="435"/>
      <c r="G26" s="10">
        <v>5</v>
      </c>
      <c r="H26" s="451">
        <f>ROUNDUP(($Y$21+$Z$21+$AA$21+$AB$21)*$Z$31*$Z$37,0)</f>
        <v>1151</v>
      </c>
      <c r="I26" s="452"/>
      <c r="J26" s="452"/>
      <c r="K26" s="453"/>
      <c r="L26" s="559"/>
      <c r="M26" s="544"/>
      <c r="N26" s="450"/>
      <c r="O26" s="347">
        <f>+H26+$L$22+$M$22+$N$22</f>
        <v>3211</v>
      </c>
      <c r="P26" s="350">
        <f>O26*$U$25</f>
        <v>96330</v>
      </c>
      <c r="Y26" s="213"/>
      <c r="Z26" s="163"/>
    </row>
    <row r="27" spans="2:26" ht="27" customHeight="1" thickBot="1">
      <c r="B27" s="486"/>
      <c r="C27" s="468" t="s">
        <v>477</v>
      </c>
      <c r="D27" s="548" t="s">
        <v>469</v>
      </c>
      <c r="E27" s="549"/>
      <c r="F27" s="424" t="s">
        <v>15</v>
      </c>
      <c r="G27" s="9">
        <v>1</v>
      </c>
      <c r="H27" s="477">
        <f>ROUNDUP(($Y$12+$Z$12+$AA$12+$AB$12)*$Z$31*$Z$37,0)</f>
        <v>968</v>
      </c>
      <c r="I27" s="478"/>
      <c r="J27" s="478"/>
      <c r="K27" s="479"/>
      <c r="L27" s="562">
        <v>390</v>
      </c>
      <c r="M27" s="564">
        <v>370</v>
      </c>
      <c r="N27" s="449">
        <v>100</v>
      </c>
      <c r="O27" s="349">
        <f>+H27+$L$27+$M$27+$N$27</f>
        <v>1828</v>
      </c>
      <c r="P27" s="139">
        <f aca="true" t="shared" si="2" ref="P27:P45">O27*$U$25</f>
        <v>54840</v>
      </c>
      <c r="Y27" s="273" t="s">
        <v>115</v>
      </c>
      <c r="Z27" s="135">
        <v>0.021</v>
      </c>
    </row>
    <row r="28" spans="2:26" ht="27" customHeight="1" thickBot="1">
      <c r="B28" s="486"/>
      <c r="C28" s="560"/>
      <c r="D28" s="550"/>
      <c r="E28" s="551"/>
      <c r="F28" s="425"/>
      <c r="G28" s="9">
        <v>2</v>
      </c>
      <c r="H28" s="451">
        <f>ROUNDUP(($Y$13+$Z$13+$AA$13+$AB$13)*$Z$31*$Z$37,0)</f>
        <v>1049</v>
      </c>
      <c r="I28" s="452"/>
      <c r="J28" s="452"/>
      <c r="K28" s="453"/>
      <c r="L28" s="555"/>
      <c r="M28" s="480"/>
      <c r="N28" s="449"/>
      <c r="O28" s="140">
        <f>+H28+$L$27+$M$27+$N$27</f>
        <v>1909</v>
      </c>
      <c r="P28" s="110">
        <f t="shared" si="2"/>
        <v>57270</v>
      </c>
      <c r="Y28" s="213"/>
      <c r="Z28" s="163"/>
    </row>
    <row r="29" spans="2:26" ht="27" customHeight="1" thickBot="1">
      <c r="B29" s="486"/>
      <c r="C29" s="560"/>
      <c r="D29" s="550"/>
      <c r="E29" s="551"/>
      <c r="F29" s="425"/>
      <c r="G29" s="9">
        <v>3</v>
      </c>
      <c r="H29" s="451">
        <f>ROUNDUP(($Y$14+$Z$14+$AA$14+$AB$14)*$Z$31*$Z$37,0)</f>
        <v>1119</v>
      </c>
      <c r="I29" s="452"/>
      <c r="J29" s="452"/>
      <c r="K29" s="453"/>
      <c r="L29" s="555"/>
      <c r="M29" s="480"/>
      <c r="N29" s="449"/>
      <c r="O29" s="140">
        <f>+H29+$L$27+$M$27+$N$27</f>
        <v>1979</v>
      </c>
      <c r="P29" s="110">
        <f t="shared" si="2"/>
        <v>59370</v>
      </c>
      <c r="Y29" s="369" t="s">
        <v>481</v>
      </c>
      <c r="Z29" s="135">
        <v>0.008</v>
      </c>
    </row>
    <row r="30" spans="2:26" ht="27" customHeight="1" thickBot="1">
      <c r="B30" s="486"/>
      <c r="C30" s="560"/>
      <c r="D30" s="550"/>
      <c r="E30" s="551"/>
      <c r="F30" s="425"/>
      <c r="G30" s="9">
        <v>4</v>
      </c>
      <c r="H30" s="451">
        <f>ROUNDUP(($Y$15+$Z$15+$AA$15+$AB$15)*$Z$31*$Z$37,0)</f>
        <v>1182</v>
      </c>
      <c r="I30" s="452"/>
      <c r="J30" s="452"/>
      <c r="K30" s="453"/>
      <c r="L30" s="555"/>
      <c r="M30" s="480"/>
      <c r="N30" s="449"/>
      <c r="O30" s="140">
        <f>+H30+$L$27+$M$27+$N$27</f>
        <v>2042</v>
      </c>
      <c r="P30" s="110">
        <f t="shared" si="2"/>
        <v>61260</v>
      </c>
      <c r="Y30" s="13"/>
      <c r="Z30" s="13"/>
    </row>
    <row r="31" spans="2:26" ht="27" customHeight="1" thickBot="1">
      <c r="B31" s="486"/>
      <c r="C31" s="560"/>
      <c r="D31" s="550"/>
      <c r="E31" s="551"/>
      <c r="F31" s="426"/>
      <c r="G31" s="9">
        <v>5</v>
      </c>
      <c r="H31" s="451">
        <f>ROUNDUP(($Y$16+$Z$16+$AA$16+$AB$16)*$Z$31*$Z$37,0)</f>
        <v>1241</v>
      </c>
      <c r="I31" s="452"/>
      <c r="J31" s="452"/>
      <c r="K31" s="453"/>
      <c r="L31" s="563"/>
      <c r="M31" s="480"/>
      <c r="N31" s="467"/>
      <c r="O31" s="140">
        <f>+H31+$L$27+$M$27+$N$27</f>
        <v>2101</v>
      </c>
      <c r="P31" s="110">
        <f t="shared" si="2"/>
        <v>63030</v>
      </c>
      <c r="Y31" s="265" t="s">
        <v>123</v>
      </c>
      <c r="Z31" s="147">
        <v>10.27</v>
      </c>
    </row>
    <row r="32" spans="2:25" ht="27" customHeight="1" thickBot="1">
      <c r="B32" s="486"/>
      <c r="C32" s="560"/>
      <c r="D32" s="550"/>
      <c r="E32" s="551"/>
      <c r="F32" s="433" t="s">
        <v>16</v>
      </c>
      <c r="G32" s="9">
        <v>1</v>
      </c>
      <c r="H32" s="451">
        <f>ROUNDUP(($Y$17+$Z$17+$AA$17+$AB$17)*$Z$31*$Z$37,0)</f>
        <v>880</v>
      </c>
      <c r="I32" s="452"/>
      <c r="J32" s="452"/>
      <c r="K32" s="453"/>
      <c r="L32" s="554">
        <v>390</v>
      </c>
      <c r="M32" s="504">
        <v>490</v>
      </c>
      <c r="N32" s="448">
        <v>100</v>
      </c>
      <c r="O32" s="140">
        <f>+H32+$L$32+$M$32+$N$32</f>
        <v>1860</v>
      </c>
      <c r="P32" s="110">
        <f t="shared" si="2"/>
        <v>55800</v>
      </c>
      <c r="Y32" s="13"/>
    </row>
    <row r="33" spans="2:26" ht="27" customHeight="1" thickBot="1">
      <c r="B33" s="486"/>
      <c r="C33" s="560"/>
      <c r="D33" s="550"/>
      <c r="E33" s="551"/>
      <c r="F33" s="434"/>
      <c r="G33" s="9">
        <v>2</v>
      </c>
      <c r="H33" s="451">
        <f>ROUNDUP(($Y$18+$Z$18+$AA$18+$AB$18)*$Z$31*$Z$37,0)</f>
        <v>959</v>
      </c>
      <c r="I33" s="452"/>
      <c r="J33" s="452"/>
      <c r="K33" s="453"/>
      <c r="L33" s="555"/>
      <c r="M33" s="480"/>
      <c r="N33" s="449"/>
      <c r="O33" s="140">
        <f>+H33+$L$32+$M$32+$N$32</f>
        <v>1939</v>
      </c>
      <c r="P33" s="110">
        <f t="shared" si="2"/>
        <v>58170</v>
      </c>
      <c r="Y33" s="211" t="s">
        <v>186</v>
      </c>
      <c r="Z33" s="146">
        <f>3/10</f>
        <v>0.3</v>
      </c>
    </row>
    <row r="34" spans="2:26" ht="27" customHeight="1" thickBot="1">
      <c r="B34" s="486"/>
      <c r="C34" s="560"/>
      <c r="D34" s="550"/>
      <c r="E34" s="551"/>
      <c r="F34" s="434"/>
      <c r="G34" s="9">
        <v>3</v>
      </c>
      <c r="H34" s="451">
        <f>ROUNDUP(($Y$19+$Z$19+$AA$19+$AB$19)*$Z$31*$Z$37,0)</f>
        <v>1027</v>
      </c>
      <c r="I34" s="452"/>
      <c r="J34" s="452"/>
      <c r="K34" s="453"/>
      <c r="L34" s="555"/>
      <c r="M34" s="480"/>
      <c r="N34" s="449"/>
      <c r="O34" s="140">
        <f>+H34+$L$32+$M$32+$N$32</f>
        <v>2007</v>
      </c>
      <c r="P34" s="110">
        <f t="shared" si="2"/>
        <v>60210</v>
      </c>
      <c r="Y34" s="211"/>
      <c r="Z34" s="146"/>
    </row>
    <row r="35" spans="2:26" ht="27" customHeight="1" thickBot="1">
      <c r="B35" s="486"/>
      <c r="C35" s="560"/>
      <c r="D35" s="550"/>
      <c r="E35" s="551"/>
      <c r="F35" s="434"/>
      <c r="G35" s="9">
        <v>4</v>
      </c>
      <c r="H35" s="451">
        <f>ROUNDUP(($Y$20+$Z$20+$AA$20+$AB$20)*$Z$31*$Z$37,0)</f>
        <v>1089</v>
      </c>
      <c r="I35" s="452"/>
      <c r="J35" s="452"/>
      <c r="K35" s="453"/>
      <c r="L35" s="555"/>
      <c r="M35" s="480"/>
      <c r="N35" s="449"/>
      <c r="O35" s="140">
        <f>+H35+$L$32+$M$32+$N$32</f>
        <v>2069</v>
      </c>
      <c r="P35" s="110">
        <f t="shared" si="2"/>
        <v>62070</v>
      </c>
      <c r="Y35" s="211" t="s">
        <v>122</v>
      </c>
      <c r="Z35" s="146">
        <f>2/10</f>
        <v>0.2</v>
      </c>
    </row>
    <row r="36" spans="2:25" ht="27" customHeight="1" thickBot="1">
      <c r="B36" s="486"/>
      <c r="C36" s="561"/>
      <c r="D36" s="552"/>
      <c r="E36" s="553"/>
      <c r="F36" s="435"/>
      <c r="G36" s="10">
        <v>5</v>
      </c>
      <c r="H36" s="451">
        <f>ROUNDUP(($Y$21+$Z$21+$AA$21+$AB$21)*$Z$31*$Z$37,0)</f>
        <v>1151</v>
      </c>
      <c r="I36" s="452"/>
      <c r="J36" s="452"/>
      <c r="K36" s="453"/>
      <c r="L36" s="556"/>
      <c r="M36" s="505"/>
      <c r="N36" s="450"/>
      <c r="O36" s="347">
        <f>+H36+$L$32+$M$32+$N$32</f>
        <v>2131</v>
      </c>
      <c r="P36" s="142">
        <f t="shared" si="2"/>
        <v>63930</v>
      </c>
      <c r="Y36" s="13"/>
    </row>
    <row r="37" spans="2:26" ht="27" customHeight="1" thickBot="1">
      <c r="B37" s="486"/>
      <c r="C37" s="468" t="s">
        <v>461</v>
      </c>
      <c r="D37" s="565" t="s">
        <v>17</v>
      </c>
      <c r="E37" s="472" t="s">
        <v>18</v>
      </c>
      <c r="F37" s="424" t="s">
        <v>15</v>
      </c>
      <c r="G37" s="9">
        <v>1</v>
      </c>
      <c r="H37" s="477">
        <f>ROUNDUP(($Y$12+$Z$12+$AA$12+$AB$12)*$Z$31*$Z$37,0)</f>
        <v>968</v>
      </c>
      <c r="I37" s="478"/>
      <c r="J37" s="478"/>
      <c r="K37" s="479"/>
      <c r="L37" s="480">
        <v>300</v>
      </c>
      <c r="M37" s="480">
        <v>0</v>
      </c>
      <c r="N37" s="449">
        <v>100</v>
      </c>
      <c r="O37" s="349">
        <f>+H37+$L$37+$M$37+$N$37</f>
        <v>1368</v>
      </c>
      <c r="P37" s="255">
        <f t="shared" si="2"/>
        <v>41040</v>
      </c>
      <c r="Y37" s="211" t="s">
        <v>124</v>
      </c>
      <c r="Z37" s="146">
        <f>1/10</f>
        <v>0.1</v>
      </c>
    </row>
    <row r="38" spans="2:16" ht="27" customHeight="1">
      <c r="B38" s="486"/>
      <c r="C38" s="560"/>
      <c r="D38" s="566"/>
      <c r="E38" s="474"/>
      <c r="F38" s="425"/>
      <c r="G38" s="9">
        <v>2</v>
      </c>
      <c r="H38" s="451">
        <f>ROUNDUP(($Y$13+$Z$13+$AA$13+$AB$13)*$Z$31*$Z$37,0)</f>
        <v>1049</v>
      </c>
      <c r="I38" s="452"/>
      <c r="J38" s="452"/>
      <c r="K38" s="453"/>
      <c r="L38" s="480"/>
      <c r="M38" s="480"/>
      <c r="N38" s="449"/>
      <c r="O38" s="140">
        <f>+H38+$L$37+$M$37+$N$37</f>
        <v>1449</v>
      </c>
      <c r="P38" s="110">
        <f t="shared" si="2"/>
        <v>43470</v>
      </c>
    </row>
    <row r="39" spans="2:16" ht="27" customHeight="1">
      <c r="B39" s="486"/>
      <c r="C39" s="560"/>
      <c r="D39" s="566"/>
      <c r="E39" s="474"/>
      <c r="F39" s="425"/>
      <c r="G39" s="9">
        <v>3</v>
      </c>
      <c r="H39" s="451">
        <f>ROUNDUP(($Y$14+$Z$14+$AA$14+$AB$14)*$Z$31*$Z$37,0)</f>
        <v>1119</v>
      </c>
      <c r="I39" s="452"/>
      <c r="J39" s="452"/>
      <c r="K39" s="453"/>
      <c r="L39" s="480"/>
      <c r="M39" s="480"/>
      <c r="N39" s="449"/>
      <c r="O39" s="140">
        <f>+H39+$L$37+$M$37+$N$37</f>
        <v>1519</v>
      </c>
      <c r="P39" s="110">
        <f t="shared" si="2"/>
        <v>45570</v>
      </c>
    </row>
    <row r="40" spans="2:16" ht="27" customHeight="1">
      <c r="B40" s="486"/>
      <c r="C40" s="560"/>
      <c r="D40" s="566"/>
      <c r="E40" s="474"/>
      <c r="F40" s="425"/>
      <c r="G40" s="9">
        <v>4</v>
      </c>
      <c r="H40" s="451">
        <f>ROUNDUP(($Y$15+$Z$15+$AA$15+$AB$15)*$Z$31*$Z$37,0)</f>
        <v>1182</v>
      </c>
      <c r="I40" s="452"/>
      <c r="J40" s="452"/>
      <c r="K40" s="453"/>
      <c r="L40" s="480"/>
      <c r="M40" s="480"/>
      <c r="N40" s="449"/>
      <c r="O40" s="140">
        <f>+H40+$L$37+$M$37+$N$37</f>
        <v>1582</v>
      </c>
      <c r="P40" s="110">
        <f t="shared" si="2"/>
        <v>47460</v>
      </c>
    </row>
    <row r="41" spans="2:16" ht="27" customHeight="1">
      <c r="B41" s="486"/>
      <c r="C41" s="560"/>
      <c r="D41" s="566"/>
      <c r="E41" s="474"/>
      <c r="F41" s="426"/>
      <c r="G41" s="9">
        <v>5</v>
      </c>
      <c r="H41" s="451">
        <f>ROUNDUP(($Y$16+$Z$16+$AA$16+$AB$16)*$Z$31*$Z$37,0)</f>
        <v>1241</v>
      </c>
      <c r="I41" s="452"/>
      <c r="J41" s="452"/>
      <c r="K41" s="453"/>
      <c r="L41" s="481"/>
      <c r="M41" s="481"/>
      <c r="N41" s="467"/>
      <c r="O41" s="140">
        <f>+H41+$L$37+$M$37+$N$37</f>
        <v>1641</v>
      </c>
      <c r="P41" s="110">
        <f t="shared" si="2"/>
        <v>49230</v>
      </c>
    </row>
    <row r="42" spans="2:16" ht="27" customHeight="1">
      <c r="B42" s="486"/>
      <c r="C42" s="560"/>
      <c r="D42" s="566"/>
      <c r="E42" s="474"/>
      <c r="F42" s="433" t="s">
        <v>16</v>
      </c>
      <c r="G42" s="9">
        <v>1</v>
      </c>
      <c r="H42" s="451">
        <f>ROUNDUP(($Y$17+$Z$17+$AA$17+$AB$17)*$Z$31*$Z$37,0)</f>
        <v>880</v>
      </c>
      <c r="I42" s="452"/>
      <c r="J42" s="452"/>
      <c r="K42" s="453"/>
      <c r="L42" s="504">
        <v>300</v>
      </c>
      <c r="M42" s="504">
        <v>490</v>
      </c>
      <c r="N42" s="448">
        <v>100</v>
      </c>
      <c r="O42" s="140">
        <f>+H42+$L$42+$M$42+$N$42</f>
        <v>1770</v>
      </c>
      <c r="P42" s="110">
        <f t="shared" si="2"/>
        <v>53100</v>
      </c>
    </row>
    <row r="43" spans="2:16" ht="27" customHeight="1">
      <c r="B43" s="486"/>
      <c r="C43" s="560"/>
      <c r="D43" s="566"/>
      <c r="E43" s="474"/>
      <c r="F43" s="434"/>
      <c r="G43" s="9">
        <v>2</v>
      </c>
      <c r="H43" s="451">
        <f>ROUNDUP(($Y$18+$Z$18+$AA$18+$AB$18)*$Z$31*$Z$37,0)</f>
        <v>959</v>
      </c>
      <c r="I43" s="452"/>
      <c r="J43" s="452"/>
      <c r="K43" s="453"/>
      <c r="L43" s="480"/>
      <c r="M43" s="480"/>
      <c r="N43" s="449"/>
      <c r="O43" s="140">
        <f>+H43+$L$42+$M$42+$N$42</f>
        <v>1849</v>
      </c>
      <c r="P43" s="110">
        <f t="shared" si="2"/>
        <v>55470</v>
      </c>
    </row>
    <row r="44" spans="2:16" ht="27" customHeight="1">
      <c r="B44" s="486"/>
      <c r="C44" s="560"/>
      <c r="D44" s="566"/>
      <c r="E44" s="474"/>
      <c r="F44" s="434"/>
      <c r="G44" s="9">
        <v>3</v>
      </c>
      <c r="H44" s="451">
        <f>ROUNDUP(($Y$19+$Z$19+$AA$19+$AB$19)*$Z$31*$Z$37,0)</f>
        <v>1027</v>
      </c>
      <c r="I44" s="452"/>
      <c r="J44" s="452"/>
      <c r="K44" s="453"/>
      <c r="L44" s="480"/>
      <c r="M44" s="480"/>
      <c r="N44" s="449"/>
      <c r="O44" s="140">
        <f>+H44+$L$42+$M$42+$N$42</f>
        <v>1917</v>
      </c>
      <c r="P44" s="110">
        <f t="shared" si="2"/>
        <v>57510</v>
      </c>
    </row>
    <row r="45" spans="2:16" ht="27" customHeight="1">
      <c r="B45" s="486"/>
      <c r="C45" s="560"/>
      <c r="D45" s="566"/>
      <c r="E45" s="474"/>
      <c r="F45" s="434"/>
      <c r="G45" s="9">
        <v>4</v>
      </c>
      <c r="H45" s="451">
        <f>ROUNDUP(($Y$20+$Z$20+$AA$20+$AB$20)*$Z$31*$Z$37,0)</f>
        <v>1089</v>
      </c>
      <c r="I45" s="452"/>
      <c r="J45" s="452"/>
      <c r="K45" s="453"/>
      <c r="L45" s="480"/>
      <c r="M45" s="480"/>
      <c r="N45" s="449"/>
      <c r="O45" s="140">
        <f>+H45+$L$42+$M$42+$N$42</f>
        <v>1979</v>
      </c>
      <c r="P45" s="110">
        <f t="shared" si="2"/>
        <v>59370</v>
      </c>
    </row>
    <row r="46" spans="2:16" ht="27" customHeight="1" thickBot="1">
      <c r="B46" s="487"/>
      <c r="C46" s="561"/>
      <c r="D46" s="567"/>
      <c r="E46" s="476"/>
      <c r="F46" s="435"/>
      <c r="G46" s="10">
        <v>5</v>
      </c>
      <c r="H46" s="454">
        <f>ROUNDUP(($Y$21+$Z$21+$AA$21+$AB$21)*$Z$31*$Z$37,0)</f>
        <v>1151</v>
      </c>
      <c r="I46" s="455"/>
      <c r="J46" s="455"/>
      <c r="K46" s="456"/>
      <c r="L46" s="505"/>
      <c r="M46" s="505"/>
      <c r="N46" s="450"/>
      <c r="O46" s="347">
        <f>+H46+$L$42+$M$42+$N$42</f>
        <v>2041</v>
      </c>
      <c r="P46" s="142">
        <f>O46*$U$25</f>
        <v>61230</v>
      </c>
    </row>
    <row r="47" spans="2:16" ht="27" customHeight="1">
      <c r="B47" s="149"/>
      <c r="C47" s="94"/>
      <c r="D47" s="149"/>
      <c r="E47" s="149"/>
      <c r="F47" s="149"/>
      <c r="G47" s="50"/>
      <c r="H47" s="361"/>
      <c r="I47" s="361"/>
      <c r="J47" s="361"/>
      <c r="K47" s="361"/>
      <c r="L47" s="52"/>
      <c r="M47" s="52"/>
      <c r="N47" s="52"/>
      <c r="O47" s="362"/>
      <c r="P47" s="363"/>
    </row>
    <row r="48" spans="2:16" ht="13.5" customHeight="1">
      <c r="B48" s="149"/>
      <c r="C48" s="94"/>
      <c r="D48" s="149"/>
      <c r="E48" s="149"/>
      <c r="F48" s="149"/>
      <c r="G48" s="50"/>
      <c r="H48" s="361"/>
      <c r="I48" s="361"/>
      <c r="J48" s="361"/>
      <c r="K48" s="361"/>
      <c r="L48" s="52"/>
      <c r="M48" s="52"/>
      <c r="N48" s="52"/>
      <c r="O48" s="362"/>
      <c r="P48" s="363"/>
    </row>
    <row r="49" spans="3:16" ht="18" customHeight="1">
      <c r="C49" s="1"/>
      <c r="D49" s="1"/>
      <c r="E49" s="1"/>
      <c r="F49" s="1"/>
      <c r="G49" s="2"/>
      <c r="H49" s="2"/>
      <c r="I49" s="3"/>
      <c r="J49" s="2"/>
      <c r="K49" s="117"/>
      <c r="L49" s="3"/>
      <c r="M49" s="3"/>
      <c r="P49" s="4"/>
    </row>
    <row r="50" spans="9:16" ht="15" customHeight="1" thickBot="1">
      <c r="I50" s="114"/>
      <c r="J50" s="113"/>
      <c r="N50" s="253" t="str">
        <f>$N$2</f>
        <v>(2022年10月1日～改訂)</v>
      </c>
      <c r="O50" s="5"/>
      <c r="P50" s="4"/>
    </row>
    <row r="51" spans="6:16" ht="18" customHeight="1" thickBot="1">
      <c r="F51" s="527" t="s">
        <v>2</v>
      </c>
      <c r="G51" s="528"/>
      <c r="H51" s="529"/>
      <c r="I51" s="114"/>
      <c r="J51" s="249" t="s">
        <v>3</v>
      </c>
      <c r="K51" s="6"/>
      <c r="L51" s="7"/>
      <c r="M51" s="7"/>
      <c r="N51" s="7"/>
      <c r="P51" s="4"/>
    </row>
    <row r="52" spans="6:16" ht="9" customHeight="1" thickBot="1">
      <c r="F52" s="6"/>
      <c r="G52" s="79"/>
      <c r="H52" s="79"/>
      <c r="I52" s="115"/>
      <c r="J52" s="115"/>
      <c r="K52" s="6"/>
      <c r="L52" s="7"/>
      <c r="M52" s="7"/>
      <c r="N52" s="7"/>
      <c r="P52" s="4"/>
    </row>
    <row r="53" spans="7:16" ht="15" customHeight="1" thickBot="1">
      <c r="G53" s="77"/>
      <c r="H53" s="445" t="s">
        <v>72</v>
      </c>
      <c r="I53" s="446"/>
      <c r="J53" s="446"/>
      <c r="K53" s="447"/>
      <c r="L53" s="445" t="s">
        <v>76</v>
      </c>
      <c r="M53" s="447"/>
      <c r="N53" s="351" t="s">
        <v>71</v>
      </c>
      <c r="P53" s="4"/>
    </row>
    <row r="54" spans="3:16" ht="27" customHeight="1" thickBot="1">
      <c r="C54" s="506" t="s">
        <v>4</v>
      </c>
      <c r="D54" s="507"/>
      <c r="E54" s="507"/>
      <c r="F54" s="354" t="s">
        <v>5</v>
      </c>
      <c r="G54" s="364" t="s">
        <v>6</v>
      </c>
      <c r="H54" s="524" t="s">
        <v>456</v>
      </c>
      <c r="I54" s="525"/>
      <c r="J54" s="525"/>
      <c r="K54" s="526"/>
      <c r="L54" s="357" t="s">
        <v>9</v>
      </c>
      <c r="M54" s="357" t="s">
        <v>10</v>
      </c>
      <c r="N54" s="354" t="s">
        <v>11</v>
      </c>
      <c r="O54" s="355" t="s">
        <v>12</v>
      </c>
      <c r="P54" s="356" t="s">
        <v>467</v>
      </c>
    </row>
    <row r="55" spans="2:16" ht="27" customHeight="1">
      <c r="B55" s="485" t="s">
        <v>185</v>
      </c>
      <c r="C55" s="488" t="s">
        <v>13</v>
      </c>
      <c r="D55" s="491" t="s">
        <v>14</v>
      </c>
      <c r="E55" s="492"/>
      <c r="F55" s="497" t="s">
        <v>15</v>
      </c>
      <c r="G55" s="137">
        <v>1</v>
      </c>
      <c r="H55" s="500">
        <f>ROUNDUP(($Y$12+$Z$12+$AA$12+$AB$12)*$Z$31*$Z$33,0)</f>
        <v>2903</v>
      </c>
      <c r="I55" s="501"/>
      <c r="J55" s="501"/>
      <c r="K55" s="502"/>
      <c r="L55" s="483">
        <v>1880</v>
      </c>
      <c r="M55" s="483">
        <v>370</v>
      </c>
      <c r="N55" s="514">
        <v>100</v>
      </c>
      <c r="O55" s="138">
        <f>+H55+$L$55+$M$55+$N$55</f>
        <v>5253</v>
      </c>
      <c r="P55" s="346">
        <f>O55*$U$25</f>
        <v>157590</v>
      </c>
    </row>
    <row r="56" spans="2:16" ht="27" customHeight="1">
      <c r="B56" s="486"/>
      <c r="C56" s="489"/>
      <c r="D56" s="493"/>
      <c r="E56" s="494"/>
      <c r="F56" s="498"/>
      <c r="G56" s="137">
        <v>2</v>
      </c>
      <c r="H56" s="451">
        <f>ROUNDUP(($Y$13+$Z$13+$AA$13+$AB$13)*$Z$31*$Z$33,0)</f>
        <v>3146</v>
      </c>
      <c r="I56" s="452"/>
      <c r="J56" s="452"/>
      <c r="K56" s="453"/>
      <c r="L56" s="483"/>
      <c r="M56" s="483"/>
      <c r="N56" s="512"/>
      <c r="O56" s="140">
        <f>+H56+$L$55+$M$55+$N$55</f>
        <v>5496</v>
      </c>
      <c r="P56" s="110">
        <f>O56*$U$25</f>
        <v>164880</v>
      </c>
    </row>
    <row r="57" spans="2:16" ht="27" customHeight="1">
      <c r="B57" s="486"/>
      <c r="C57" s="489"/>
      <c r="D57" s="493"/>
      <c r="E57" s="494"/>
      <c r="F57" s="498"/>
      <c r="G57" s="137">
        <v>3</v>
      </c>
      <c r="H57" s="451">
        <f>ROUNDUP(($Y$14+$Z$14+$AA$14+$AB$14)*$Z$31*$Z$33,0)</f>
        <v>3356</v>
      </c>
      <c r="I57" s="452"/>
      <c r="J57" s="452"/>
      <c r="K57" s="453"/>
      <c r="L57" s="483"/>
      <c r="M57" s="483"/>
      <c r="N57" s="512"/>
      <c r="O57" s="140">
        <f>+H57+$L$55+$M$55+$N$55</f>
        <v>5706</v>
      </c>
      <c r="P57" s="110">
        <f>O57*$U$25</f>
        <v>171180</v>
      </c>
    </row>
    <row r="58" spans="2:16" ht="27" customHeight="1">
      <c r="B58" s="486"/>
      <c r="C58" s="489"/>
      <c r="D58" s="493"/>
      <c r="E58" s="494"/>
      <c r="F58" s="498"/>
      <c r="G58" s="137">
        <v>4</v>
      </c>
      <c r="H58" s="451">
        <f>ROUNDUP(($Y$15+$Z$15+$AA$15+$AB$15)*$Z$31*$Z$33,0)</f>
        <v>3544</v>
      </c>
      <c r="I58" s="452"/>
      <c r="J58" s="452"/>
      <c r="K58" s="453"/>
      <c r="L58" s="483"/>
      <c r="M58" s="483"/>
      <c r="N58" s="512"/>
      <c r="O58" s="140">
        <f>+H58+$L$55+$M$55+$N$55</f>
        <v>5894</v>
      </c>
      <c r="P58" s="110">
        <f>O58*$U$25</f>
        <v>176820</v>
      </c>
    </row>
    <row r="59" spans="2:16" ht="27" customHeight="1">
      <c r="B59" s="486"/>
      <c r="C59" s="489"/>
      <c r="D59" s="493"/>
      <c r="E59" s="494"/>
      <c r="F59" s="499"/>
      <c r="G59" s="137">
        <v>5</v>
      </c>
      <c r="H59" s="451">
        <f>ROUNDUP(($Y$16+$Z$16+$AA$16+$AB$16)*$Z$31*$Z$33,0)</f>
        <v>3722</v>
      </c>
      <c r="I59" s="452"/>
      <c r="J59" s="452"/>
      <c r="K59" s="453"/>
      <c r="L59" s="503"/>
      <c r="M59" s="503"/>
      <c r="N59" s="515"/>
      <c r="O59" s="140">
        <f>+H59+$L$55+$M$55+$N$55</f>
        <v>6072</v>
      </c>
      <c r="P59" s="110">
        <f>O59*$U$25</f>
        <v>182160</v>
      </c>
    </row>
    <row r="60" spans="2:16" ht="27" customHeight="1">
      <c r="B60" s="486"/>
      <c r="C60" s="489"/>
      <c r="D60" s="493"/>
      <c r="E60" s="494"/>
      <c r="F60" s="508" t="s">
        <v>16</v>
      </c>
      <c r="G60" s="137">
        <v>1</v>
      </c>
      <c r="H60" s="451">
        <f>ROUNDUP(($Y$17+$Z$17+$AA$17+$AB$17)*$Z$31*$Z$33,0)</f>
        <v>2638</v>
      </c>
      <c r="I60" s="452"/>
      <c r="J60" s="452"/>
      <c r="K60" s="453"/>
      <c r="L60" s="482">
        <v>1880</v>
      </c>
      <c r="M60" s="482">
        <v>1640</v>
      </c>
      <c r="N60" s="511">
        <v>100</v>
      </c>
      <c r="O60" s="140">
        <f>+H60+L$60+$M$60+$N$60</f>
        <v>6258</v>
      </c>
      <c r="P60" s="110">
        <f aca="true" t="shared" si="3" ref="P60:P73">O60*$U$25</f>
        <v>187740</v>
      </c>
    </row>
    <row r="61" spans="2:16" ht="27" customHeight="1">
      <c r="B61" s="486"/>
      <c r="C61" s="489"/>
      <c r="D61" s="493"/>
      <c r="E61" s="494"/>
      <c r="F61" s="509"/>
      <c r="G61" s="137">
        <v>2</v>
      </c>
      <c r="H61" s="451">
        <f>ROUNDUP(($Y$18+$Z$18+$AA$18+$AB$18)*$Z$31*$Z$33,0)</f>
        <v>2875</v>
      </c>
      <c r="I61" s="452"/>
      <c r="J61" s="452"/>
      <c r="K61" s="453"/>
      <c r="L61" s="483"/>
      <c r="M61" s="483"/>
      <c r="N61" s="512"/>
      <c r="O61" s="140">
        <f>+H61+L$60+$M$60+$N$60</f>
        <v>6495</v>
      </c>
      <c r="P61" s="110">
        <f t="shared" si="3"/>
        <v>194850</v>
      </c>
    </row>
    <row r="62" spans="2:16" ht="27" customHeight="1">
      <c r="B62" s="486"/>
      <c r="C62" s="489"/>
      <c r="D62" s="493"/>
      <c r="E62" s="494"/>
      <c r="F62" s="509"/>
      <c r="G62" s="137">
        <v>3</v>
      </c>
      <c r="H62" s="451">
        <f>ROUNDUP(($Y$19+$Z$19+$AA$19+$AB$19)*$Z$31*$Z$33,0)</f>
        <v>3081</v>
      </c>
      <c r="I62" s="452"/>
      <c r="J62" s="452"/>
      <c r="K62" s="453"/>
      <c r="L62" s="483"/>
      <c r="M62" s="483"/>
      <c r="N62" s="512"/>
      <c r="O62" s="140">
        <f>+H62+L$60+$M$60+$N$60</f>
        <v>6701</v>
      </c>
      <c r="P62" s="110">
        <f t="shared" si="3"/>
        <v>201030</v>
      </c>
    </row>
    <row r="63" spans="2:16" ht="27" customHeight="1">
      <c r="B63" s="486"/>
      <c r="C63" s="489"/>
      <c r="D63" s="493"/>
      <c r="E63" s="494"/>
      <c r="F63" s="509"/>
      <c r="G63" s="137">
        <v>4</v>
      </c>
      <c r="H63" s="451">
        <f>ROUNDUP(($Y$20+$Z$20+$AA$20+$AB$20)*$Z$31*$Z$33,0)</f>
        <v>3266</v>
      </c>
      <c r="I63" s="452"/>
      <c r="J63" s="452"/>
      <c r="K63" s="453"/>
      <c r="L63" s="483"/>
      <c r="M63" s="483"/>
      <c r="N63" s="512"/>
      <c r="O63" s="140">
        <f>+H63+L$60+$M$60+$N$60</f>
        <v>6886</v>
      </c>
      <c r="P63" s="110">
        <f t="shared" si="3"/>
        <v>206580</v>
      </c>
    </row>
    <row r="64" spans="2:16" ht="27" customHeight="1" thickBot="1">
      <c r="B64" s="487"/>
      <c r="C64" s="490"/>
      <c r="D64" s="495"/>
      <c r="E64" s="496"/>
      <c r="F64" s="510"/>
      <c r="G64" s="141">
        <v>5</v>
      </c>
      <c r="H64" s="451">
        <f>ROUNDUP(($Y$21+$Z$21+$AA$21+$AB$21)*$Z$31*$Z$33,0)</f>
        <v>3451</v>
      </c>
      <c r="I64" s="452"/>
      <c r="J64" s="452"/>
      <c r="K64" s="453"/>
      <c r="L64" s="484"/>
      <c r="M64" s="484"/>
      <c r="N64" s="513"/>
      <c r="O64" s="348">
        <f>+H64+L$60+$M$60+$N$60</f>
        <v>7071</v>
      </c>
      <c r="P64" s="142">
        <f t="shared" si="3"/>
        <v>212130</v>
      </c>
    </row>
    <row r="65" spans="2:16" ht="27" customHeight="1">
      <c r="B65" s="485" t="s">
        <v>117</v>
      </c>
      <c r="C65" s="488" t="s">
        <v>13</v>
      </c>
      <c r="D65" s="491" t="s">
        <v>14</v>
      </c>
      <c r="E65" s="492"/>
      <c r="F65" s="497" t="s">
        <v>15</v>
      </c>
      <c r="G65" s="137">
        <v>1</v>
      </c>
      <c r="H65" s="500">
        <f>ROUNDUP(($Y$12+$Z$12+$AA$12+$AB$12)*$Z$31*$Z$35,0)</f>
        <v>1935</v>
      </c>
      <c r="I65" s="501"/>
      <c r="J65" s="501"/>
      <c r="K65" s="502"/>
      <c r="L65" s="483">
        <v>1880</v>
      </c>
      <c r="M65" s="483">
        <v>370</v>
      </c>
      <c r="N65" s="514">
        <v>100</v>
      </c>
      <c r="O65" s="349">
        <f>+H65+$L$65+$M$65+$N$65</f>
        <v>4285</v>
      </c>
      <c r="P65" s="255">
        <f t="shared" si="3"/>
        <v>128550</v>
      </c>
    </row>
    <row r="66" spans="2:16" ht="27" customHeight="1">
      <c r="B66" s="486"/>
      <c r="C66" s="489"/>
      <c r="D66" s="493"/>
      <c r="E66" s="494"/>
      <c r="F66" s="498"/>
      <c r="G66" s="137">
        <v>2</v>
      </c>
      <c r="H66" s="451">
        <f>ROUNDUP(($Y$13+$Z$13+$AA$13+$AB$13)*$Z$31*$Z$35,0)</f>
        <v>2098</v>
      </c>
      <c r="I66" s="452"/>
      <c r="J66" s="452"/>
      <c r="K66" s="453"/>
      <c r="L66" s="483"/>
      <c r="M66" s="483"/>
      <c r="N66" s="512"/>
      <c r="O66" s="140">
        <f>+H66+$L$65+$M$65+$N$65</f>
        <v>4448</v>
      </c>
      <c r="P66" s="110">
        <f t="shared" si="3"/>
        <v>133440</v>
      </c>
    </row>
    <row r="67" spans="2:16" ht="27" customHeight="1">
      <c r="B67" s="486"/>
      <c r="C67" s="489"/>
      <c r="D67" s="493"/>
      <c r="E67" s="494"/>
      <c r="F67" s="498"/>
      <c r="G67" s="137">
        <v>3</v>
      </c>
      <c r="H67" s="451">
        <f>ROUNDUP(($Y$14+$Z$14+$AA$14+$AB$14)*$Z$31*$Z$35,0)</f>
        <v>2237</v>
      </c>
      <c r="I67" s="452"/>
      <c r="J67" s="452"/>
      <c r="K67" s="453"/>
      <c r="L67" s="483"/>
      <c r="M67" s="483"/>
      <c r="N67" s="512"/>
      <c r="O67" s="140">
        <f>+H67+$L$65+$M$65+$N$65</f>
        <v>4587</v>
      </c>
      <c r="P67" s="110">
        <f t="shared" si="3"/>
        <v>137610</v>
      </c>
    </row>
    <row r="68" spans="2:16" ht="27" customHeight="1">
      <c r="B68" s="486"/>
      <c r="C68" s="489"/>
      <c r="D68" s="493"/>
      <c r="E68" s="494"/>
      <c r="F68" s="498"/>
      <c r="G68" s="137">
        <v>4</v>
      </c>
      <c r="H68" s="451">
        <f>ROUNDUP(($Y$15+$Z$15+$AA$15+$AB$15)*$Z$31*$Z$35,0)</f>
        <v>2363</v>
      </c>
      <c r="I68" s="452"/>
      <c r="J68" s="452"/>
      <c r="K68" s="453"/>
      <c r="L68" s="483"/>
      <c r="M68" s="483"/>
      <c r="N68" s="512"/>
      <c r="O68" s="140">
        <f>+H68+$L$65+$M$65+$N$65</f>
        <v>4713</v>
      </c>
      <c r="P68" s="110">
        <f t="shared" si="3"/>
        <v>141390</v>
      </c>
    </row>
    <row r="69" spans="2:16" ht="27" customHeight="1">
      <c r="B69" s="486"/>
      <c r="C69" s="489"/>
      <c r="D69" s="493"/>
      <c r="E69" s="494"/>
      <c r="F69" s="499"/>
      <c r="G69" s="137">
        <v>5</v>
      </c>
      <c r="H69" s="451">
        <f>ROUNDUP(($Y$16+$Z$16+$AA$16+$AB$16)*$Z$31*$Z$35,0)</f>
        <v>2482</v>
      </c>
      <c r="I69" s="452"/>
      <c r="J69" s="452"/>
      <c r="K69" s="453"/>
      <c r="L69" s="503"/>
      <c r="M69" s="503"/>
      <c r="N69" s="515"/>
      <c r="O69" s="140">
        <f>+H69+$L$65+$M$65+$N$65</f>
        <v>4832</v>
      </c>
      <c r="P69" s="110">
        <f t="shared" si="3"/>
        <v>144960</v>
      </c>
    </row>
    <row r="70" spans="2:16" ht="27" customHeight="1">
      <c r="B70" s="486"/>
      <c r="C70" s="489"/>
      <c r="D70" s="493"/>
      <c r="E70" s="494"/>
      <c r="F70" s="508" t="s">
        <v>16</v>
      </c>
      <c r="G70" s="137">
        <v>1</v>
      </c>
      <c r="H70" s="451">
        <f>ROUNDUP(($Y$17+$Z$17+$AA$17+$AB$17)*$Z$31*$Z$35,0)</f>
        <v>1759</v>
      </c>
      <c r="I70" s="452"/>
      <c r="J70" s="452"/>
      <c r="K70" s="453"/>
      <c r="L70" s="482">
        <v>1880</v>
      </c>
      <c r="M70" s="482">
        <v>1640</v>
      </c>
      <c r="N70" s="511">
        <v>100</v>
      </c>
      <c r="O70" s="140">
        <f>+H70+$L$70+$M$70+$N$70</f>
        <v>5379</v>
      </c>
      <c r="P70" s="110">
        <f t="shared" si="3"/>
        <v>161370</v>
      </c>
    </row>
    <row r="71" spans="2:16" ht="27" customHeight="1">
      <c r="B71" s="486"/>
      <c r="C71" s="489"/>
      <c r="D71" s="493"/>
      <c r="E71" s="494"/>
      <c r="F71" s="509"/>
      <c r="G71" s="137">
        <v>2</v>
      </c>
      <c r="H71" s="451">
        <f>ROUNDUP(($Y$18+$Z$18+$AA$18+$AB$18)*$Z$31*$Z$35,0)</f>
        <v>1917</v>
      </c>
      <c r="I71" s="452"/>
      <c r="J71" s="452"/>
      <c r="K71" s="453"/>
      <c r="L71" s="483"/>
      <c r="M71" s="483"/>
      <c r="N71" s="512"/>
      <c r="O71" s="140">
        <f>+H71+$L$70+$M$70+$N$70</f>
        <v>5537</v>
      </c>
      <c r="P71" s="110">
        <f t="shared" si="3"/>
        <v>166110</v>
      </c>
    </row>
    <row r="72" spans="2:16" ht="27" customHeight="1">
      <c r="B72" s="486"/>
      <c r="C72" s="489"/>
      <c r="D72" s="493"/>
      <c r="E72" s="494"/>
      <c r="F72" s="509"/>
      <c r="G72" s="137">
        <v>3</v>
      </c>
      <c r="H72" s="451">
        <f>ROUNDUP(($Y$19+$Z$19+$AA$19+$AB$19)*$Z$31*$Z$35,0)</f>
        <v>2054</v>
      </c>
      <c r="I72" s="452"/>
      <c r="J72" s="452"/>
      <c r="K72" s="453"/>
      <c r="L72" s="483"/>
      <c r="M72" s="483"/>
      <c r="N72" s="512"/>
      <c r="O72" s="140">
        <f>+H72+$L$70+$M$70+$N$70</f>
        <v>5674</v>
      </c>
      <c r="P72" s="110">
        <f t="shared" si="3"/>
        <v>170220</v>
      </c>
    </row>
    <row r="73" spans="2:16" ht="27" customHeight="1">
      <c r="B73" s="486"/>
      <c r="C73" s="489"/>
      <c r="D73" s="493"/>
      <c r="E73" s="494"/>
      <c r="F73" s="509"/>
      <c r="G73" s="137">
        <v>4</v>
      </c>
      <c r="H73" s="451">
        <f>ROUNDUP(($Y$20+$Z$20+$AA$20+$AB$20)*$Z$31*$Z$35,0)</f>
        <v>2178</v>
      </c>
      <c r="I73" s="452"/>
      <c r="J73" s="452"/>
      <c r="K73" s="453"/>
      <c r="L73" s="483"/>
      <c r="M73" s="483"/>
      <c r="N73" s="512"/>
      <c r="O73" s="140">
        <f>+H73+$L$70+$M$70+$N$70</f>
        <v>5798</v>
      </c>
      <c r="P73" s="110">
        <f t="shared" si="3"/>
        <v>173940</v>
      </c>
    </row>
    <row r="74" spans="2:16" ht="27" customHeight="1" thickBot="1">
      <c r="B74" s="487"/>
      <c r="C74" s="490"/>
      <c r="D74" s="495"/>
      <c r="E74" s="496"/>
      <c r="F74" s="510"/>
      <c r="G74" s="141">
        <v>5</v>
      </c>
      <c r="H74" s="451">
        <f>ROUNDUP(($Y$21+$Z$21+$AA$21+$AB$21)*$Z$31*$Z$35,0)</f>
        <v>2301</v>
      </c>
      <c r="I74" s="452"/>
      <c r="J74" s="452"/>
      <c r="K74" s="453"/>
      <c r="L74" s="484"/>
      <c r="M74" s="484"/>
      <c r="N74" s="513"/>
      <c r="O74" s="348">
        <f>+H74+$L$70+$M$70+$N$70</f>
        <v>5921</v>
      </c>
      <c r="P74" s="350">
        <f>O74*$U$25</f>
        <v>177630</v>
      </c>
    </row>
    <row r="75" spans="2:16" ht="27" customHeight="1">
      <c r="B75" s="485" t="s">
        <v>126</v>
      </c>
      <c r="C75" s="468" t="s">
        <v>13</v>
      </c>
      <c r="D75" s="471" t="s">
        <v>14</v>
      </c>
      <c r="E75" s="472"/>
      <c r="F75" s="424" t="s">
        <v>15</v>
      </c>
      <c r="G75" s="9">
        <v>1</v>
      </c>
      <c r="H75" s="477">
        <f>ROUNDUP(($Y$12+$Z$12+$AA$12+$AB$12)*$Z$31*$Z$37,0)</f>
        <v>968</v>
      </c>
      <c r="I75" s="478"/>
      <c r="J75" s="478"/>
      <c r="K75" s="479"/>
      <c r="L75" s="480">
        <v>1880</v>
      </c>
      <c r="M75" s="483">
        <v>370</v>
      </c>
      <c r="N75" s="466">
        <v>100</v>
      </c>
      <c r="O75" s="349">
        <f>+H75+$L$75+$M$75+$N$75</f>
        <v>3318</v>
      </c>
      <c r="P75" s="139">
        <f aca="true" t="shared" si="4" ref="P75:P83">O75*$U$25</f>
        <v>99540</v>
      </c>
    </row>
    <row r="76" spans="2:16" ht="27" customHeight="1">
      <c r="B76" s="486"/>
      <c r="C76" s="469"/>
      <c r="D76" s="473"/>
      <c r="E76" s="474"/>
      <c r="F76" s="425"/>
      <c r="G76" s="9">
        <v>2</v>
      </c>
      <c r="H76" s="451">
        <f>ROUNDUP(($Y$13+$Z$13+$AA$13+$AB$13)*$Z$31*$Z$37,0)</f>
        <v>1049</v>
      </c>
      <c r="I76" s="452"/>
      <c r="J76" s="452"/>
      <c r="K76" s="453"/>
      <c r="L76" s="480"/>
      <c r="M76" s="483"/>
      <c r="N76" s="449"/>
      <c r="O76" s="140">
        <f>+H76+$L$75+$M$75+$N$75</f>
        <v>3399</v>
      </c>
      <c r="P76" s="110">
        <f t="shared" si="4"/>
        <v>101970</v>
      </c>
    </row>
    <row r="77" spans="2:16" ht="27" customHeight="1">
      <c r="B77" s="486"/>
      <c r="C77" s="469"/>
      <c r="D77" s="473"/>
      <c r="E77" s="474"/>
      <c r="F77" s="425"/>
      <c r="G77" s="9">
        <v>3</v>
      </c>
      <c r="H77" s="451">
        <f>ROUNDUP(($Y$14+$Z$14+$AA$14+$AB$14)*$Z$31*$Z$37,0)</f>
        <v>1119</v>
      </c>
      <c r="I77" s="452"/>
      <c r="J77" s="452"/>
      <c r="K77" s="453"/>
      <c r="L77" s="480"/>
      <c r="M77" s="483"/>
      <c r="N77" s="449"/>
      <c r="O77" s="140">
        <f>+H77+$L$75+$M$75+$N$75</f>
        <v>3469</v>
      </c>
      <c r="P77" s="110">
        <f t="shared" si="4"/>
        <v>104070</v>
      </c>
    </row>
    <row r="78" spans="2:16" ht="27" customHeight="1">
      <c r="B78" s="486"/>
      <c r="C78" s="469"/>
      <c r="D78" s="473"/>
      <c r="E78" s="474"/>
      <c r="F78" s="425"/>
      <c r="G78" s="9">
        <v>4</v>
      </c>
      <c r="H78" s="451">
        <f>ROUNDUP(($Y$15+$Z$15+$AA$15+$AB$15)*$Z$31*$Z$37,0)</f>
        <v>1182</v>
      </c>
      <c r="I78" s="452"/>
      <c r="J78" s="452"/>
      <c r="K78" s="453"/>
      <c r="L78" s="480"/>
      <c r="M78" s="483"/>
      <c r="N78" s="449"/>
      <c r="O78" s="140">
        <f>+H78+$L$75+$M$75+$N$75</f>
        <v>3532</v>
      </c>
      <c r="P78" s="110">
        <f t="shared" si="4"/>
        <v>105960</v>
      </c>
    </row>
    <row r="79" spans="2:16" ht="27" customHeight="1">
      <c r="B79" s="486"/>
      <c r="C79" s="469"/>
      <c r="D79" s="473"/>
      <c r="E79" s="474"/>
      <c r="F79" s="426"/>
      <c r="G79" s="9">
        <v>5</v>
      </c>
      <c r="H79" s="451">
        <f>ROUNDUP(($Y$16+$Z$16+$AA$16+$AB$16)*$Z$31*$Z$37,0)</f>
        <v>1241</v>
      </c>
      <c r="I79" s="452"/>
      <c r="J79" s="452"/>
      <c r="K79" s="453"/>
      <c r="L79" s="481"/>
      <c r="M79" s="503"/>
      <c r="N79" s="467"/>
      <c r="O79" s="140">
        <f>+H79+$L$75+$M$75+$N$75</f>
        <v>3591</v>
      </c>
      <c r="P79" s="110">
        <f t="shared" si="4"/>
        <v>107730</v>
      </c>
    </row>
    <row r="80" spans="2:16" ht="27" customHeight="1">
      <c r="B80" s="486"/>
      <c r="C80" s="469"/>
      <c r="D80" s="473"/>
      <c r="E80" s="474"/>
      <c r="F80" s="433" t="s">
        <v>16</v>
      </c>
      <c r="G80" s="9">
        <v>1</v>
      </c>
      <c r="H80" s="451">
        <f>ROUNDUP(($Y$17+$Z$17+$AA$17+$AB$17)*$Z$31*$Z$37,0)</f>
        <v>880</v>
      </c>
      <c r="I80" s="452"/>
      <c r="J80" s="452"/>
      <c r="K80" s="453"/>
      <c r="L80" s="504">
        <v>1880</v>
      </c>
      <c r="M80" s="482">
        <v>1640</v>
      </c>
      <c r="N80" s="448">
        <v>100</v>
      </c>
      <c r="O80" s="140">
        <f>+H80+$L$80+$M$80+$N$80</f>
        <v>4500</v>
      </c>
      <c r="P80" s="110">
        <f t="shared" si="4"/>
        <v>135000</v>
      </c>
    </row>
    <row r="81" spans="2:16" ht="27" customHeight="1">
      <c r="B81" s="486"/>
      <c r="C81" s="469"/>
      <c r="D81" s="473"/>
      <c r="E81" s="474"/>
      <c r="F81" s="434"/>
      <c r="G81" s="9">
        <v>2</v>
      </c>
      <c r="H81" s="451">
        <f>ROUNDUP(($Y$18+$Z$18+$AA$18+$AB$18)*$Z$31*$Z$37,0)</f>
        <v>959</v>
      </c>
      <c r="I81" s="452"/>
      <c r="J81" s="452"/>
      <c r="K81" s="453"/>
      <c r="L81" s="480"/>
      <c r="M81" s="483"/>
      <c r="N81" s="449"/>
      <c r="O81" s="140">
        <f>+H81+$L$80+$M$80+$N$80</f>
        <v>4579</v>
      </c>
      <c r="P81" s="110">
        <f t="shared" si="4"/>
        <v>137370</v>
      </c>
    </row>
    <row r="82" spans="2:16" ht="27" customHeight="1">
      <c r="B82" s="486"/>
      <c r="C82" s="469"/>
      <c r="D82" s="473"/>
      <c r="E82" s="474"/>
      <c r="F82" s="434"/>
      <c r="G82" s="9">
        <v>3</v>
      </c>
      <c r="H82" s="451">
        <f>ROUNDUP(($Y$19+$Z$19+$AA$19+$AB$19)*$Z$31*$Z$37,0)</f>
        <v>1027</v>
      </c>
      <c r="I82" s="452"/>
      <c r="J82" s="452"/>
      <c r="K82" s="453"/>
      <c r="L82" s="480"/>
      <c r="M82" s="483"/>
      <c r="N82" s="449"/>
      <c r="O82" s="140">
        <f>+H82+$L$80+$M$80+$N$80</f>
        <v>4647</v>
      </c>
      <c r="P82" s="110">
        <f t="shared" si="4"/>
        <v>139410</v>
      </c>
    </row>
    <row r="83" spans="2:16" ht="27" customHeight="1">
      <c r="B83" s="486"/>
      <c r="C83" s="469"/>
      <c r="D83" s="473"/>
      <c r="E83" s="474"/>
      <c r="F83" s="434"/>
      <c r="G83" s="9">
        <v>4</v>
      </c>
      <c r="H83" s="451">
        <f>ROUNDUP(($Y$20+$Z$20+$AA$20+$AB$20)*$Z$31*$Z$37,0)</f>
        <v>1089</v>
      </c>
      <c r="I83" s="452"/>
      <c r="J83" s="452"/>
      <c r="K83" s="453"/>
      <c r="L83" s="480"/>
      <c r="M83" s="483"/>
      <c r="N83" s="449"/>
      <c r="O83" s="140">
        <f>+H83+$L$80+$M$80+$N$80</f>
        <v>4709</v>
      </c>
      <c r="P83" s="110">
        <f t="shared" si="4"/>
        <v>141270</v>
      </c>
    </row>
    <row r="84" spans="2:16" ht="27" customHeight="1" thickBot="1">
      <c r="B84" s="487"/>
      <c r="C84" s="470"/>
      <c r="D84" s="475"/>
      <c r="E84" s="476"/>
      <c r="F84" s="435"/>
      <c r="G84" s="10">
        <v>5</v>
      </c>
      <c r="H84" s="454">
        <f>ROUNDUP(($Y$21+$Z$21+$AA$21+$AB$21)*$Z$31*$Z$37,0)</f>
        <v>1151</v>
      </c>
      <c r="I84" s="455"/>
      <c r="J84" s="455"/>
      <c r="K84" s="456"/>
      <c r="L84" s="505"/>
      <c r="M84" s="484"/>
      <c r="N84" s="450"/>
      <c r="O84" s="347">
        <f>+H84+$L$80+$M$80+$N$80</f>
        <v>4771</v>
      </c>
      <c r="P84" s="142">
        <f>O84*$U$25</f>
        <v>143130</v>
      </c>
    </row>
    <row r="85" ht="13.5">
      <c r="P85" s="4"/>
    </row>
    <row r="86" spans="2:16" ht="14.25">
      <c r="B86" s="11" t="s">
        <v>455</v>
      </c>
      <c r="C86" s="11"/>
      <c r="D86" s="1"/>
      <c r="E86" s="1"/>
      <c r="F86" s="1"/>
      <c r="G86" s="1"/>
      <c r="H86" s="1"/>
      <c r="I86" s="1"/>
      <c r="J86" s="1"/>
      <c r="K86" s="1"/>
      <c r="L86" s="1"/>
      <c r="M86" s="1"/>
      <c r="N86" s="1"/>
      <c r="O86" s="1"/>
      <c r="P86" s="1"/>
    </row>
    <row r="87" spans="3:15" ht="14.25">
      <c r="C87" s="11" t="s">
        <v>506</v>
      </c>
      <c r="D87" s="11"/>
      <c r="E87" s="1"/>
      <c r="F87" s="1"/>
      <c r="G87" s="1"/>
      <c r="H87" s="1"/>
      <c r="I87" s="1"/>
      <c r="J87" s="1"/>
      <c r="K87" s="1"/>
      <c r="L87" s="1"/>
      <c r="M87" s="12"/>
      <c r="N87" s="12"/>
      <c r="O87" s="12"/>
    </row>
    <row r="88" spans="2:16" ht="19.5" customHeight="1">
      <c r="B88" s="12" t="s">
        <v>476</v>
      </c>
      <c r="C88" s="11"/>
      <c r="D88" s="11"/>
      <c r="E88" s="1"/>
      <c r="F88" s="1"/>
      <c r="G88" s="1"/>
      <c r="H88" s="1"/>
      <c r="I88" s="1"/>
      <c r="J88" s="1"/>
      <c r="K88" s="1"/>
      <c r="L88" s="1"/>
      <c r="M88" s="1"/>
      <c r="N88" s="1"/>
      <c r="O88" s="1"/>
      <c r="P88" s="1"/>
    </row>
    <row r="89" spans="2:16" ht="14.25">
      <c r="B89" s="11" t="s">
        <v>301</v>
      </c>
      <c r="C89" s="11"/>
      <c r="D89" s="11"/>
      <c r="E89" s="11"/>
      <c r="F89" s="11"/>
      <c r="G89" s="11"/>
      <c r="H89" s="11"/>
      <c r="I89" s="11"/>
      <c r="J89" s="11"/>
      <c r="K89" s="118"/>
      <c r="L89" s="11"/>
      <c r="M89" s="11"/>
      <c r="N89" s="11"/>
      <c r="O89" s="11"/>
      <c r="P89" s="11"/>
    </row>
    <row r="90" spans="2:16" ht="14.25">
      <c r="B90" s="11"/>
      <c r="C90" s="11"/>
      <c r="D90" s="11"/>
      <c r="E90" s="11"/>
      <c r="F90" s="11"/>
      <c r="G90" s="11"/>
      <c r="H90" s="11"/>
      <c r="I90" s="11"/>
      <c r="J90" s="11"/>
      <c r="K90" s="118"/>
      <c r="L90" s="11"/>
      <c r="M90" s="11"/>
      <c r="N90" s="11"/>
      <c r="O90" s="11"/>
      <c r="P90" s="11"/>
    </row>
    <row r="91" spans="2:16" ht="14.25">
      <c r="B91" s="11"/>
      <c r="C91" s="11"/>
      <c r="D91" s="1"/>
      <c r="E91" s="1"/>
      <c r="F91" s="1"/>
      <c r="G91" s="1"/>
      <c r="H91" s="1"/>
      <c r="I91" s="1"/>
      <c r="J91" s="1"/>
      <c r="K91" s="1"/>
      <c r="L91" s="1"/>
      <c r="M91" s="1"/>
      <c r="N91" s="1"/>
      <c r="O91" s="1"/>
      <c r="P91" s="1"/>
    </row>
    <row r="92" spans="2:16" ht="14.25">
      <c r="B92" s="11"/>
      <c r="C92" s="282"/>
      <c r="D92" s="1"/>
      <c r="E92" s="1"/>
      <c r="F92" s="1"/>
      <c r="G92" s="1"/>
      <c r="H92" s="1"/>
      <c r="I92" s="1"/>
      <c r="J92" s="1"/>
      <c r="K92" s="1"/>
      <c r="L92" s="1"/>
      <c r="M92" s="1"/>
      <c r="N92" s="1"/>
      <c r="O92" s="1"/>
      <c r="P92" s="1"/>
    </row>
    <row r="93" spans="2:16" ht="14.25">
      <c r="B93" s="11"/>
      <c r="C93" s="11"/>
      <c r="D93" s="1"/>
      <c r="E93" s="1"/>
      <c r="F93" s="1"/>
      <c r="G93" s="1"/>
      <c r="H93" s="1"/>
      <c r="I93" s="1"/>
      <c r="J93" s="1"/>
      <c r="K93" s="1"/>
      <c r="L93" s="1"/>
      <c r="M93" s="1"/>
      <c r="N93" s="1"/>
      <c r="O93" s="1"/>
      <c r="P93" s="1"/>
    </row>
    <row r="94" spans="2:16" ht="14.25">
      <c r="B94" s="282"/>
      <c r="C94" s="11"/>
      <c r="D94" s="1"/>
      <c r="E94" s="1"/>
      <c r="F94" s="1"/>
      <c r="G94" s="1"/>
      <c r="H94" s="1"/>
      <c r="I94" s="1"/>
      <c r="J94" s="1"/>
      <c r="K94" s="1"/>
      <c r="L94" s="1"/>
      <c r="M94" s="1"/>
      <c r="N94" s="1"/>
      <c r="O94" s="1"/>
      <c r="P94" s="1"/>
    </row>
    <row r="95" spans="2:16" ht="14.25">
      <c r="B95" s="282"/>
      <c r="C95" s="11"/>
      <c r="D95" s="1"/>
      <c r="E95" s="1"/>
      <c r="F95" s="1"/>
      <c r="G95" s="1"/>
      <c r="H95" s="1"/>
      <c r="I95" s="1"/>
      <c r="J95" s="1"/>
      <c r="K95" s="1"/>
      <c r="L95" s="1"/>
      <c r="M95" s="1"/>
      <c r="N95" s="1"/>
      <c r="O95" s="1"/>
      <c r="P95" s="1"/>
    </row>
    <row r="96" spans="2:16" ht="14.25">
      <c r="B96" s="11"/>
      <c r="C96" s="11"/>
      <c r="D96" s="1"/>
      <c r="E96" s="1"/>
      <c r="F96" s="1"/>
      <c r="G96" s="1"/>
      <c r="H96" s="1"/>
      <c r="I96" s="1"/>
      <c r="J96" s="1"/>
      <c r="K96" s="1"/>
      <c r="L96" s="1"/>
      <c r="M96" s="1"/>
      <c r="N96" s="1"/>
      <c r="O96" s="1"/>
      <c r="P96" s="1"/>
    </row>
    <row r="97" spans="2:16" ht="14.25">
      <c r="B97" s="11"/>
      <c r="C97" s="11"/>
      <c r="D97" s="1"/>
      <c r="E97" s="1"/>
      <c r="F97" s="1"/>
      <c r="G97" s="1"/>
      <c r="H97" s="1"/>
      <c r="I97" s="1"/>
      <c r="J97" s="1"/>
      <c r="K97" s="1"/>
      <c r="L97" s="1"/>
      <c r="M97" s="1"/>
      <c r="N97" s="1"/>
      <c r="O97" s="1"/>
      <c r="P97" s="1"/>
    </row>
    <row r="98" spans="2:16" ht="14.25">
      <c r="B98" s="11"/>
      <c r="C98" s="11"/>
      <c r="D98" s="1"/>
      <c r="E98" s="1"/>
      <c r="F98" s="1"/>
      <c r="G98" s="1"/>
      <c r="H98" s="1"/>
      <c r="I98" s="1"/>
      <c r="J98" s="1"/>
      <c r="K98" s="1"/>
      <c r="L98" s="1"/>
      <c r="M98" s="1"/>
      <c r="N98" s="1"/>
      <c r="O98" s="1"/>
      <c r="P98" s="1"/>
    </row>
    <row r="99" spans="2:16" ht="14.25">
      <c r="B99" s="11"/>
      <c r="C99" s="11"/>
      <c r="D99" s="1"/>
      <c r="E99" s="1"/>
      <c r="F99" s="1"/>
      <c r="G99" s="1"/>
      <c r="H99" s="1"/>
      <c r="I99" s="1"/>
      <c r="J99" s="1"/>
      <c r="K99" s="1"/>
      <c r="L99" s="1"/>
      <c r="M99" s="1"/>
      <c r="N99" s="1"/>
      <c r="O99" s="1"/>
      <c r="P99" s="1"/>
    </row>
    <row r="100" spans="2:16" ht="14.25">
      <c r="B100" s="11"/>
      <c r="C100" s="11"/>
      <c r="D100" s="1"/>
      <c r="E100" s="1"/>
      <c r="F100" s="1"/>
      <c r="G100" s="1"/>
      <c r="H100" s="1"/>
      <c r="I100" s="1"/>
      <c r="J100" s="1"/>
      <c r="K100" s="1"/>
      <c r="L100" s="1"/>
      <c r="M100" s="1"/>
      <c r="N100" s="1"/>
      <c r="O100" s="1"/>
      <c r="P100" s="1"/>
    </row>
    <row r="101" spans="2:15" ht="14.25">
      <c r="B101" s="42"/>
      <c r="L101" s="1"/>
      <c r="M101" s="12" t="s">
        <v>19</v>
      </c>
      <c r="N101" s="12"/>
      <c r="O101" s="12"/>
    </row>
    <row r="102" spans="12:16" ht="14.25">
      <c r="L102" s="12"/>
      <c r="M102" s="12"/>
      <c r="N102" s="12"/>
      <c r="P102" s="13"/>
    </row>
    <row r="108" ht="13.5" customHeight="1"/>
    <row r="109" ht="13.5" customHeight="1"/>
    <row r="110" ht="14.25" customHeight="1">
      <c r="M110" s="443"/>
    </row>
    <row r="111" ht="14.25" customHeight="1">
      <c r="M111" s="443"/>
    </row>
    <row r="112" ht="13.5">
      <c r="M112" s="443"/>
    </row>
    <row r="114" ht="14.25" thickBot="1"/>
    <row r="115" spans="7:11" ht="14.25" thickBot="1">
      <c r="G115" s="77"/>
      <c r="H115" s="445" t="s">
        <v>118</v>
      </c>
      <c r="I115" s="446"/>
      <c r="J115" s="446"/>
      <c r="K115" s="447"/>
    </row>
    <row r="116" spans="6:11" ht="14.25" customHeight="1">
      <c r="F116" s="457" t="s">
        <v>5</v>
      </c>
      <c r="G116" s="460" t="s">
        <v>6</v>
      </c>
      <c r="H116" s="463" t="s">
        <v>7</v>
      </c>
      <c r="I116" s="464"/>
      <c r="J116" s="464"/>
      <c r="K116" s="465"/>
    </row>
    <row r="117" spans="6:11" ht="13.5">
      <c r="F117" s="458"/>
      <c r="G117" s="461"/>
      <c r="H117" s="442" t="s">
        <v>98</v>
      </c>
      <c r="I117" s="443"/>
      <c r="J117" s="443"/>
      <c r="K117" s="444"/>
    </row>
    <row r="118" spans="6:11" ht="13.5">
      <c r="F118" s="458"/>
      <c r="G118" s="461"/>
      <c r="H118" s="442" t="s">
        <v>8</v>
      </c>
      <c r="I118" s="443"/>
      <c r="J118" s="443"/>
      <c r="K118" s="444"/>
    </row>
    <row r="119" spans="6:11" ht="14.25" thickBot="1">
      <c r="F119" s="459"/>
      <c r="G119" s="462"/>
      <c r="H119" s="442" t="s">
        <v>95</v>
      </c>
      <c r="I119" s="443"/>
      <c r="J119" s="443"/>
      <c r="K119" s="444"/>
    </row>
    <row r="120" spans="6:13" ht="18.75">
      <c r="F120" s="424" t="s">
        <v>15</v>
      </c>
      <c r="G120" s="116">
        <v>1</v>
      </c>
      <c r="H120" s="427">
        <f>812+14+18+24</f>
        <v>868</v>
      </c>
      <c r="I120" s="428"/>
      <c r="J120" s="429"/>
      <c r="K120" s="136">
        <f>ROUND(H120*$K$133,0)</f>
        <v>34</v>
      </c>
      <c r="L120" s="120"/>
      <c r="M120" s="112">
        <f>27/1000*100</f>
        <v>2.7</v>
      </c>
    </row>
    <row r="121" spans="6:13" ht="14.25" customHeight="1">
      <c r="F121" s="425"/>
      <c r="G121" s="9">
        <v>2</v>
      </c>
      <c r="H121" s="436">
        <f>886+14+18+24</f>
        <v>942</v>
      </c>
      <c r="I121" s="437"/>
      <c r="J121" s="438"/>
      <c r="K121" s="123">
        <f aca="true" t="shared" si="5" ref="K121:K129">ROUND(H121*$K$133,0)</f>
        <v>37</v>
      </c>
      <c r="L121" s="121"/>
      <c r="M121" s="94"/>
    </row>
    <row r="122" spans="6:13" ht="18.75">
      <c r="F122" s="425"/>
      <c r="G122" s="9">
        <v>3</v>
      </c>
      <c r="H122" s="436">
        <f>948+14+18+24</f>
        <v>1004</v>
      </c>
      <c r="I122" s="437"/>
      <c r="J122" s="438"/>
      <c r="K122" s="123">
        <f t="shared" si="5"/>
        <v>39</v>
      </c>
      <c r="L122" s="121"/>
      <c r="M122" s="94"/>
    </row>
    <row r="123" spans="6:13" ht="18.75">
      <c r="F123" s="425"/>
      <c r="G123" s="9">
        <v>4</v>
      </c>
      <c r="H123" s="436">
        <f>1004+14+18+24</f>
        <v>1060</v>
      </c>
      <c r="I123" s="437"/>
      <c r="J123" s="438"/>
      <c r="K123" s="123">
        <f t="shared" si="5"/>
        <v>41</v>
      </c>
      <c r="L123" s="70"/>
      <c r="M123" s="94"/>
    </row>
    <row r="124" spans="6:13" ht="18.75">
      <c r="F124" s="426"/>
      <c r="G124" s="9">
        <v>5</v>
      </c>
      <c r="H124" s="436">
        <f>1059+14+18+24</f>
        <v>1115</v>
      </c>
      <c r="I124" s="437"/>
      <c r="J124" s="438"/>
      <c r="K124" s="123">
        <f t="shared" si="5"/>
        <v>43</v>
      </c>
      <c r="L124" s="70"/>
      <c r="M124" s="94"/>
    </row>
    <row r="125" spans="6:11" ht="18.75">
      <c r="F125" s="433" t="s">
        <v>16</v>
      </c>
      <c r="G125" s="9">
        <v>1</v>
      </c>
      <c r="H125" s="436">
        <f>733+14+18+24</f>
        <v>789</v>
      </c>
      <c r="I125" s="437"/>
      <c r="J125" s="438"/>
      <c r="K125" s="123">
        <f t="shared" si="5"/>
        <v>31</v>
      </c>
    </row>
    <row r="126" spans="6:11" ht="14.25" customHeight="1">
      <c r="F126" s="434"/>
      <c r="G126" s="9">
        <v>2</v>
      </c>
      <c r="H126" s="436">
        <f>804+14+18+24</f>
        <v>860</v>
      </c>
      <c r="I126" s="437"/>
      <c r="J126" s="438"/>
      <c r="K126" s="123">
        <f t="shared" si="5"/>
        <v>34</v>
      </c>
    </row>
    <row r="127" spans="6:11" ht="18.75">
      <c r="F127" s="434"/>
      <c r="G127" s="9">
        <v>3</v>
      </c>
      <c r="H127" s="436">
        <f>866+14+18+24</f>
        <v>922</v>
      </c>
      <c r="I127" s="437"/>
      <c r="J127" s="438"/>
      <c r="K127" s="123">
        <f t="shared" si="5"/>
        <v>36</v>
      </c>
    </row>
    <row r="128" spans="6:11" ht="18.75">
      <c r="F128" s="434"/>
      <c r="G128" s="9">
        <v>4</v>
      </c>
      <c r="H128" s="436">
        <f>922+14+18+24</f>
        <v>978</v>
      </c>
      <c r="I128" s="437"/>
      <c r="J128" s="438"/>
      <c r="K128" s="123">
        <f t="shared" si="5"/>
        <v>38</v>
      </c>
    </row>
    <row r="129" spans="6:11" ht="19.5" thickBot="1">
      <c r="F129" s="435"/>
      <c r="G129" s="10">
        <v>5</v>
      </c>
      <c r="H129" s="439">
        <f>977+14+18+24</f>
        <v>1033</v>
      </c>
      <c r="I129" s="440"/>
      <c r="J129" s="441"/>
      <c r="K129" s="122">
        <f t="shared" si="5"/>
        <v>40</v>
      </c>
    </row>
    <row r="131" ht="14.25" customHeight="1"/>
    <row r="132" ht="14.25" thickBot="1"/>
    <row r="133" spans="8:11" ht="19.5" thickBot="1">
      <c r="H133" s="430" t="s">
        <v>115</v>
      </c>
      <c r="I133" s="431"/>
      <c r="J133" s="432"/>
      <c r="K133" s="135">
        <f>39/1000</f>
        <v>0.039</v>
      </c>
    </row>
    <row r="136" ht="14.25" customHeight="1"/>
    <row r="141" ht="14.25" customHeight="1"/>
    <row r="146" ht="14.25" customHeight="1"/>
    <row r="166" ht="13.5" customHeight="1"/>
    <row r="167" ht="13.5" customHeight="1"/>
    <row r="168" ht="14.25" customHeight="1"/>
    <row r="169" ht="14.25" customHeight="1"/>
    <row r="174" ht="14.25" customHeight="1"/>
    <row r="179" ht="14.25" customHeight="1"/>
    <row r="184" ht="14.25" customHeight="1"/>
    <row r="189" ht="14.25" customHeight="1"/>
    <row r="194" ht="14.25" customHeight="1"/>
    <row r="199" ht="14.25" customHeight="1"/>
    <row r="204" ht="14.25" customHeight="1"/>
    <row r="209" ht="14.25" customHeight="1"/>
    <row r="214" ht="14.25" customHeight="1"/>
    <row r="219" ht="14.25" customHeight="1"/>
    <row r="224" ht="14.25" customHeight="1"/>
    <row r="229" ht="14.25" customHeight="1"/>
    <row r="234" ht="14.25" customHeight="1"/>
  </sheetData>
  <sheetProtection/>
  <mergeCells count="192">
    <mergeCell ref="AB7:AB11"/>
    <mergeCell ref="M42:M46"/>
    <mergeCell ref="N42:N46"/>
    <mergeCell ref="H43:K43"/>
    <mergeCell ref="H44:K44"/>
    <mergeCell ref="H45:K45"/>
    <mergeCell ref="H46:K46"/>
    <mergeCell ref="M37:M41"/>
    <mergeCell ref="N37:N41"/>
    <mergeCell ref="H38:K38"/>
    <mergeCell ref="H40:K40"/>
    <mergeCell ref="H41:K41"/>
    <mergeCell ref="C37:C46"/>
    <mergeCell ref="D37:D46"/>
    <mergeCell ref="E37:E46"/>
    <mergeCell ref="F37:F41"/>
    <mergeCell ref="H37:K37"/>
    <mergeCell ref="L37:L41"/>
    <mergeCell ref="F42:F46"/>
    <mergeCell ref="H42:K42"/>
    <mergeCell ref="L42:L46"/>
    <mergeCell ref="N27:N31"/>
    <mergeCell ref="H28:K28"/>
    <mergeCell ref="H29:K29"/>
    <mergeCell ref="H30:K30"/>
    <mergeCell ref="H31:K31"/>
    <mergeCell ref="F32:F36"/>
    <mergeCell ref="M32:M36"/>
    <mergeCell ref="N32:N36"/>
    <mergeCell ref="C27:C36"/>
    <mergeCell ref="D27:E36"/>
    <mergeCell ref="F27:F31"/>
    <mergeCell ref="H27:K27"/>
    <mergeCell ref="L27:L31"/>
    <mergeCell ref="M27:M31"/>
    <mergeCell ref="H35:K35"/>
    <mergeCell ref="H36:K36"/>
    <mergeCell ref="M22:M26"/>
    <mergeCell ref="N22:N26"/>
    <mergeCell ref="H23:K23"/>
    <mergeCell ref="H24:K24"/>
    <mergeCell ref="H25:K25"/>
    <mergeCell ref="H26:K26"/>
    <mergeCell ref="L32:L36"/>
    <mergeCell ref="L17:L21"/>
    <mergeCell ref="L22:L26"/>
    <mergeCell ref="H18:K18"/>
    <mergeCell ref="H19:K19"/>
    <mergeCell ref="H20:K20"/>
    <mergeCell ref="H33:K33"/>
    <mergeCell ref="N12:N16"/>
    <mergeCell ref="H13:K13"/>
    <mergeCell ref="H14:K14"/>
    <mergeCell ref="H15:K15"/>
    <mergeCell ref="H16:K16"/>
    <mergeCell ref="D17:E26"/>
    <mergeCell ref="F17:F21"/>
    <mergeCell ref="H17:K17"/>
    <mergeCell ref="F22:F26"/>
    <mergeCell ref="H22:K22"/>
    <mergeCell ref="B7:B46"/>
    <mergeCell ref="C7:C26"/>
    <mergeCell ref="D7:E16"/>
    <mergeCell ref="F7:F11"/>
    <mergeCell ref="H7:K7"/>
    <mergeCell ref="F12:F16"/>
    <mergeCell ref="H12:K12"/>
    <mergeCell ref="H34:K34"/>
    <mergeCell ref="H32:K32"/>
    <mergeCell ref="H39:K39"/>
    <mergeCell ref="F3:H3"/>
    <mergeCell ref="H5:K5"/>
    <mergeCell ref="L5:M5"/>
    <mergeCell ref="L12:L16"/>
    <mergeCell ref="M12:M16"/>
    <mergeCell ref="C6:E6"/>
    <mergeCell ref="H6:K6"/>
    <mergeCell ref="Z7:Z11"/>
    <mergeCell ref="AA7:AA11"/>
    <mergeCell ref="H21:K21"/>
    <mergeCell ref="X12:X21"/>
    <mergeCell ref="R17:R21"/>
    <mergeCell ref="H10:K10"/>
    <mergeCell ref="H11:K11"/>
    <mergeCell ref="X7:X11"/>
    <mergeCell ref="M7:M11"/>
    <mergeCell ref="L7:L11"/>
    <mergeCell ref="T7:T11"/>
    <mergeCell ref="L53:M53"/>
    <mergeCell ref="R25:T25"/>
    <mergeCell ref="L55:L59"/>
    <mergeCell ref="V7:V11"/>
    <mergeCell ref="H8:K8"/>
    <mergeCell ref="H9:K9"/>
    <mergeCell ref="N7:N11"/>
    <mergeCell ref="M17:M21"/>
    <mergeCell ref="N17:N21"/>
    <mergeCell ref="H59:K59"/>
    <mergeCell ref="R7:R11"/>
    <mergeCell ref="H58:K58"/>
    <mergeCell ref="F51:H51"/>
    <mergeCell ref="H53:K53"/>
    <mergeCell ref="W7:W11"/>
    <mergeCell ref="M55:M59"/>
    <mergeCell ref="N55:N59"/>
    <mergeCell ref="W12:W21"/>
    <mergeCell ref="V12:V21"/>
    <mergeCell ref="H63:K63"/>
    <mergeCell ref="H67:K67"/>
    <mergeCell ref="H61:K61"/>
    <mergeCell ref="H62:K62"/>
    <mergeCell ref="H64:K64"/>
    <mergeCell ref="U7:U11"/>
    <mergeCell ref="S7:S11"/>
    <mergeCell ref="U12:U21"/>
    <mergeCell ref="R12:R16"/>
    <mergeCell ref="H54:K54"/>
    <mergeCell ref="N65:N69"/>
    <mergeCell ref="M65:M69"/>
    <mergeCell ref="L60:L64"/>
    <mergeCell ref="M60:M64"/>
    <mergeCell ref="N60:N64"/>
    <mergeCell ref="B55:B64"/>
    <mergeCell ref="C55:C64"/>
    <mergeCell ref="D55:E64"/>
    <mergeCell ref="F55:F59"/>
    <mergeCell ref="H55:K55"/>
    <mergeCell ref="N70:N74"/>
    <mergeCell ref="H71:K71"/>
    <mergeCell ref="H72:K72"/>
    <mergeCell ref="H73:K73"/>
    <mergeCell ref="H74:K74"/>
    <mergeCell ref="F70:F74"/>
    <mergeCell ref="H70:K70"/>
    <mergeCell ref="L70:L74"/>
    <mergeCell ref="M70:M74"/>
    <mergeCell ref="H79:K79"/>
    <mergeCell ref="H66:K66"/>
    <mergeCell ref="H68:K68"/>
    <mergeCell ref="H69:K69"/>
    <mergeCell ref="C54:E54"/>
    <mergeCell ref="L65:L69"/>
    <mergeCell ref="H56:K56"/>
    <mergeCell ref="H57:K57"/>
    <mergeCell ref="F60:F64"/>
    <mergeCell ref="H60:K60"/>
    <mergeCell ref="B65:B74"/>
    <mergeCell ref="C65:C74"/>
    <mergeCell ref="D65:E74"/>
    <mergeCell ref="F65:F69"/>
    <mergeCell ref="H65:K65"/>
    <mergeCell ref="M75:M79"/>
    <mergeCell ref="B75:B84"/>
    <mergeCell ref="F80:F84"/>
    <mergeCell ref="H80:K80"/>
    <mergeCell ref="L80:L84"/>
    <mergeCell ref="N75:N79"/>
    <mergeCell ref="H76:K76"/>
    <mergeCell ref="H77:K77"/>
    <mergeCell ref="H78:K78"/>
    <mergeCell ref="C75:C84"/>
    <mergeCell ref="D75:E84"/>
    <mergeCell ref="F75:F79"/>
    <mergeCell ref="H75:K75"/>
    <mergeCell ref="L75:L79"/>
    <mergeCell ref="M80:M84"/>
    <mergeCell ref="N80:N84"/>
    <mergeCell ref="H81:K81"/>
    <mergeCell ref="H82:K82"/>
    <mergeCell ref="H83:K83"/>
    <mergeCell ref="H84:K84"/>
    <mergeCell ref="F116:F119"/>
    <mergeCell ref="G116:G119"/>
    <mergeCell ref="H116:K116"/>
    <mergeCell ref="H117:K117"/>
    <mergeCell ref="H118:K118"/>
    <mergeCell ref="H119:K119"/>
    <mergeCell ref="H121:J121"/>
    <mergeCell ref="H122:J122"/>
    <mergeCell ref="H123:J123"/>
    <mergeCell ref="H124:J124"/>
    <mergeCell ref="M110:M112"/>
    <mergeCell ref="H115:K115"/>
    <mergeCell ref="F120:F124"/>
    <mergeCell ref="H120:J120"/>
    <mergeCell ref="H133:J133"/>
    <mergeCell ref="F125:F129"/>
    <mergeCell ref="H125:J125"/>
    <mergeCell ref="H126:J126"/>
    <mergeCell ref="H127:J127"/>
    <mergeCell ref="H128:J128"/>
    <mergeCell ref="H129:J129"/>
  </mergeCells>
  <printOptions horizontalCentered="1" verticalCentered="1"/>
  <pageMargins left="0.03937007874015748" right="0.1968503937007874" top="0.1968503937007874" bottom="0.1968503937007874" header="0.2362204724409449" footer="0.1968503937007874"/>
  <pageSetup horizontalDpi="600" verticalDpi="600" orientation="portrait" paperSize="9" scale="72" r:id="rId1"/>
  <rowBreaks count="1" manualBreakCount="1">
    <brk id="48" max="15" man="1"/>
  </rowBreaks>
</worksheet>
</file>

<file path=xl/worksheets/sheet10.xml><?xml version="1.0" encoding="utf-8"?>
<worksheet xmlns="http://schemas.openxmlformats.org/spreadsheetml/2006/main" xmlns:r="http://schemas.openxmlformats.org/officeDocument/2006/relationships">
  <sheetPr>
    <tabColor indexed="51"/>
  </sheetPr>
  <dimension ref="B1:Q71"/>
  <sheetViews>
    <sheetView zoomScaleSheetLayoutView="100" zoomScalePageLayoutView="0" workbookViewId="0" topLeftCell="A1">
      <selection activeCell="J33" sqref="J33"/>
    </sheetView>
  </sheetViews>
  <sheetFormatPr defaultColWidth="9.00390625" defaultRowHeight="13.5"/>
  <cols>
    <col min="1" max="1" width="1.4921875" style="0" customWidth="1"/>
    <col min="2" max="2" width="2.625" style="0" customWidth="1"/>
    <col min="3" max="4" width="18.75390625" style="0" customWidth="1"/>
    <col min="5" max="6" width="14.50390625" style="0" customWidth="1"/>
    <col min="8" max="8" width="6.25390625" style="0" customWidth="1"/>
    <col min="12" max="12" width="10.50390625" style="0" customWidth="1"/>
    <col min="16" max="16" width="10.875" style="0" customWidth="1"/>
  </cols>
  <sheetData>
    <row r="1" spans="3:6" ht="17.25">
      <c r="C1" s="62" t="s">
        <v>57</v>
      </c>
      <c r="D1" s="13"/>
      <c r="E1" s="13"/>
      <c r="F1" s="13"/>
    </row>
    <row r="2" spans="3:8" ht="17.25">
      <c r="C2" s="63"/>
      <c r="D2" s="62"/>
      <c r="E2" s="253" t="s">
        <v>473</v>
      </c>
      <c r="F2" s="13"/>
      <c r="G2" s="64"/>
      <c r="H2" s="64"/>
    </row>
    <row r="3" spans="3:13" ht="6.75" customHeight="1" thickBot="1">
      <c r="C3" s="63"/>
      <c r="D3" s="62"/>
      <c r="E3" s="13"/>
      <c r="F3" s="13"/>
      <c r="G3" s="66"/>
      <c r="H3" s="66"/>
      <c r="K3" s="1"/>
      <c r="L3" s="1"/>
      <c r="M3" s="1"/>
    </row>
    <row r="4" spans="3:13" ht="14.25" customHeight="1" thickBot="1">
      <c r="C4" s="963" t="s">
        <v>58</v>
      </c>
      <c r="D4" s="964"/>
      <c r="E4" s="13"/>
      <c r="F4" s="13"/>
      <c r="K4" s="1"/>
      <c r="L4" s="1"/>
      <c r="M4" s="1"/>
    </row>
    <row r="5" spans="3:6" ht="5.25" customHeight="1">
      <c r="C5" s="65"/>
      <c r="D5" s="59"/>
      <c r="E5" s="59"/>
      <c r="F5" s="59"/>
    </row>
    <row r="6" spans="3:12" ht="14.25" thickBot="1">
      <c r="C6" s="965" t="s">
        <v>3</v>
      </c>
      <c r="D6" s="965"/>
      <c r="E6" s="65"/>
      <c r="F6" s="65"/>
      <c r="K6" s="967" t="s">
        <v>304</v>
      </c>
      <c r="L6" s="972"/>
    </row>
    <row r="7" spans="3:15" ht="12" customHeight="1">
      <c r="C7" s="67"/>
      <c r="D7" s="87"/>
      <c r="E7" s="966" t="s">
        <v>173</v>
      </c>
      <c r="F7" s="1032">
        <f>+$N$10</f>
        <v>6586</v>
      </c>
      <c r="K7" s="829" t="s">
        <v>6</v>
      </c>
      <c r="L7" s="617" t="s">
        <v>125</v>
      </c>
      <c r="M7" s="625" t="s">
        <v>120</v>
      </c>
      <c r="N7" s="977" t="s">
        <v>96</v>
      </c>
      <c r="O7" s="1044"/>
    </row>
    <row r="8" spans="3:15" ht="12" customHeight="1">
      <c r="C8" s="68"/>
      <c r="D8" s="72"/>
      <c r="E8" s="967"/>
      <c r="F8" s="1033"/>
      <c r="K8" s="921"/>
      <c r="L8" s="618"/>
      <c r="M8" s="626"/>
      <c r="N8" s="442" t="s">
        <v>89</v>
      </c>
      <c r="O8" s="444"/>
    </row>
    <row r="9" spans="3:15" ht="12" customHeight="1" thickBot="1">
      <c r="C9" s="967" t="s">
        <v>59</v>
      </c>
      <c r="D9" s="972"/>
      <c r="E9" s="968"/>
      <c r="F9" s="1034"/>
      <c r="K9" s="921"/>
      <c r="L9" s="618"/>
      <c r="M9" s="626"/>
      <c r="N9" s="442"/>
      <c r="O9" s="444"/>
    </row>
    <row r="10" spans="3:15" ht="12" customHeight="1">
      <c r="C10" s="967" t="s">
        <v>189</v>
      </c>
      <c r="D10" s="972"/>
      <c r="E10" s="973" t="s">
        <v>174</v>
      </c>
      <c r="F10" s="1042">
        <f>+$N$12</f>
        <v>12840</v>
      </c>
      <c r="G10" s="1"/>
      <c r="K10" s="1046" t="s">
        <v>108</v>
      </c>
      <c r="L10" s="1043">
        <v>2053</v>
      </c>
      <c r="M10" s="1043">
        <f>+$M$21</f>
        <v>72</v>
      </c>
      <c r="N10" s="1047">
        <f>ROUNDUP(($L$10+$M$10)*$O$29*$O$33,0)</f>
        <v>6586</v>
      </c>
      <c r="O10" s="1048"/>
    </row>
    <row r="11" spans="3:15" ht="12" customHeight="1">
      <c r="C11" s="983"/>
      <c r="D11" s="979"/>
      <c r="E11" s="974"/>
      <c r="F11" s="1033"/>
      <c r="G11" s="1"/>
      <c r="K11" s="984"/>
      <c r="L11" s="980"/>
      <c r="M11" s="980"/>
      <c r="N11" s="981"/>
      <c r="O11" s="982"/>
    </row>
    <row r="12" spans="3:15" ht="12" customHeight="1">
      <c r="C12" s="200"/>
      <c r="D12" s="201"/>
      <c r="E12" s="975"/>
      <c r="F12" s="1034"/>
      <c r="G12" s="1"/>
      <c r="K12" s="984" t="s">
        <v>109</v>
      </c>
      <c r="L12" s="980">
        <v>3999</v>
      </c>
      <c r="M12" s="980">
        <f>+$M$23</f>
        <v>144</v>
      </c>
      <c r="N12" s="981">
        <f>ROUNDUP(($L$12+$M$12)*$O$29*$O$33,0)</f>
        <v>12840</v>
      </c>
      <c r="O12" s="982"/>
    </row>
    <row r="13" spans="3:15" ht="21.75" customHeight="1" thickBot="1">
      <c r="C13" s="69" t="s">
        <v>60</v>
      </c>
      <c r="D13" s="34" t="s">
        <v>176</v>
      </c>
      <c r="E13" s="989">
        <v>500</v>
      </c>
      <c r="F13" s="875"/>
      <c r="K13" s="985"/>
      <c r="L13" s="986"/>
      <c r="M13" s="986"/>
      <c r="N13" s="987"/>
      <c r="O13" s="988"/>
    </row>
    <row r="14" spans="3:13" ht="21.75" customHeight="1" thickBot="1">
      <c r="C14" s="1029" t="s">
        <v>175</v>
      </c>
      <c r="D14" s="1030"/>
      <c r="E14" s="990">
        <v>100</v>
      </c>
      <c r="F14" s="900"/>
      <c r="L14" s="203"/>
      <c r="M14" s="203"/>
    </row>
    <row r="15" spans="3:6" ht="17.25" customHeight="1">
      <c r="C15" s="240"/>
      <c r="D15" s="240"/>
      <c r="E15" s="52"/>
      <c r="F15" s="52"/>
    </row>
    <row r="16" spans="3:15" ht="13.5">
      <c r="C16" s="240"/>
      <c r="D16" s="240"/>
      <c r="E16" s="52"/>
      <c r="F16" s="52"/>
      <c r="M16" s="94"/>
      <c r="N16" s="94"/>
      <c r="O16" s="94"/>
    </row>
    <row r="17" spans="11:16" ht="15" customHeight="1" thickBot="1">
      <c r="K17" s="967" t="s">
        <v>305</v>
      </c>
      <c r="L17" s="972"/>
      <c r="M17" s="102"/>
      <c r="N17" s="102"/>
      <c r="O17" s="163"/>
      <c r="P17" s="163"/>
    </row>
    <row r="18" spans="3:15" ht="12" customHeight="1">
      <c r="C18" s="67"/>
      <c r="D18" s="87"/>
      <c r="E18" s="966" t="s">
        <v>173</v>
      </c>
      <c r="F18" s="1032">
        <f>+$N$21</f>
        <v>4391</v>
      </c>
      <c r="K18" s="829" t="s">
        <v>6</v>
      </c>
      <c r="L18" s="617" t="s">
        <v>125</v>
      </c>
      <c r="M18" s="625" t="s">
        <v>120</v>
      </c>
      <c r="N18" s="977" t="s">
        <v>96</v>
      </c>
      <c r="O18" s="1044"/>
    </row>
    <row r="19" spans="3:15" ht="12" customHeight="1">
      <c r="C19" s="68"/>
      <c r="D19" s="72"/>
      <c r="E19" s="967"/>
      <c r="F19" s="1033"/>
      <c r="K19" s="921"/>
      <c r="L19" s="618"/>
      <c r="M19" s="626"/>
      <c r="N19" s="442" t="s">
        <v>89</v>
      </c>
      <c r="O19" s="444"/>
    </row>
    <row r="20" spans="3:15" ht="12" customHeight="1" thickBot="1">
      <c r="C20" s="967" t="s">
        <v>59</v>
      </c>
      <c r="D20" s="972"/>
      <c r="E20" s="968"/>
      <c r="F20" s="1034"/>
      <c r="K20" s="921"/>
      <c r="L20" s="618"/>
      <c r="M20" s="626"/>
      <c r="N20" s="442"/>
      <c r="O20" s="444"/>
    </row>
    <row r="21" spans="3:15" ht="12" customHeight="1">
      <c r="C21" s="967" t="s">
        <v>172</v>
      </c>
      <c r="D21" s="972"/>
      <c r="E21" s="973" t="s">
        <v>174</v>
      </c>
      <c r="F21" s="1042">
        <f>+$N$23</f>
        <v>8560</v>
      </c>
      <c r="G21" s="1"/>
      <c r="K21" s="1046" t="s">
        <v>108</v>
      </c>
      <c r="L21" s="1043">
        <v>2053</v>
      </c>
      <c r="M21" s="1043">
        <v>72</v>
      </c>
      <c r="N21" s="1047">
        <f>ROUNDUP(($L$21+$M$21)*$O$29*$O$35,0)</f>
        <v>4391</v>
      </c>
      <c r="O21" s="1048"/>
    </row>
    <row r="22" spans="3:15" ht="12" customHeight="1">
      <c r="C22" s="983"/>
      <c r="D22" s="979"/>
      <c r="E22" s="974"/>
      <c r="F22" s="1033"/>
      <c r="G22" s="1"/>
      <c r="K22" s="984"/>
      <c r="L22" s="980"/>
      <c r="M22" s="980"/>
      <c r="N22" s="981"/>
      <c r="O22" s="982"/>
    </row>
    <row r="23" spans="3:15" ht="12" customHeight="1">
      <c r="C23" s="200"/>
      <c r="D23" s="201"/>
      <c r="E23" s="975"/>
      <c r="F23" s="1034"/>
      <c r="G23" s="1"/>
      <c r="K23" s="984" t="s">
        <v>109</v>
      </c>
      <c r="L23" s="980">
        <v>3999</v>
      </c>
      <c r="M23" s="980">
        <v>144</v>
      </c>
      <c r="N23" s="981">
        <f>ROUNDUP(($L$23+$M$23)*$O$29*$O$35,0)</f>
        <v>8560</v>
      </c>
      <c r="O23" s="982"/>
    </row>
    <row r="24" spans="3:15" ht="21.75" customHeight="1" thickBot="1">
      <c r="C24" s="69" t="s">
        <v>60</v>
      </c>
      <c r="D24" s="34" t="s">
        <v>176</v>
      </c>
      <c r="E24" s="989">
        <v>500</v>
      </c>
      <c r="F24" s="875"/>
      <c r="K24" s="985"/>
      <c r="L24" s="986"/>
      <c r="M24" s="986"/>
      <c r="N24" s="987"/>
      <c r="O24" s="988"/>
    </row>
    <row r="25" spans="3:13" ht="21.75" customHeight="1" thickBot="1">
      <c r="C25" s="1029" t="s">
        <v>175</v>
      </c>
      <c r="D25" s="1030"/>
      <c r="E25" s="990">
        <v>100</v>
      </c>
      <c r="F25" s="900"/>
      <c r="L25" s="203"/>
      <c r="M25" s="203"/>
    </row>
    <row r="26" spans="3:13" ht="18" customHeight="1">
      <c r="C26" s="240"/>
      <c r="D26" s="240"/>
      <c r="E26" s="52"/>
      <c r="F26" s="52"/>
      <c r="L26" s="203"/>
      <c r="M26" s="203"/>
    </row>
    <row r="27" spans="2:13" ht="18" customHeight="1">
      <c r="B27" s="186" t="s">
        <v>307</v>
      </c>
      <c r="C27" s="183"/>
      <c r="D27" s="183"/>
      <c r="E27" s="183"/>
      <c r="F27" s="183"/>
      <c r="G27" s="183"/>
      <c r="H27" s="183"/>
      <c r="L27" s="203"/>
      <c r="M27" s="203"/>
    </row>
    <row r="28" spans="2:8" ht="18" customHeight="1" thickBot="1">
      <c r="B28" s="186"/>
      <c r="C28" s="186" t="s">
        <v>306</v>
      </c>
      <c r="D28" s="183"/>
      <c r="E28" s="183"/>
      <c r="F28" s="183"/>
      <c r="G28" s="183"/>
      <c r="H28" s="183"/>
    </row>
    <row r="29" spans="2:16" ht="16.5" customHeight="1" thickBot="1">
      <c r="B29" s="186" t="s">
        <v>160</v>
      </c>
      <c r="C29" s="25"/>
      <c r="E29" s="13"/>
      <c r="F29" s="13"/>
      <c r="M29" s="853" t="s">
        <v>123</v>
      </c>
      <c r="N29" s="855"/>
      <c r="O29" s="157">
        <v>10.33</v>
      </c>
      <c r="P29" s="164"/>
    </row>
    <row r="30" spans="2:14" ht="16.5" customHeight="1">
      <c r="B30" s="1031" t="s">
        <v>372</v>
      </c>
      <c r="C30" s="1031"/>
      <c r="D30" s="1031"/>
      <c r="E30" s="1031"/>
      <c r="F30" s="345"/>
      <c r="G30" s="345"/>
      <c r="K30" s="102"/>
      <c r="L30" s="102"/>
      <c r="M30" s="164"/>
      <c r="N30" s="164"/>
    </row>
    <row r="31" spans="2:14" ht="16.5" customHeight="1">
      <c r="B31" s="368"/>
      <c r="C31" s="368"/>
      <c r="D31" s="368"/>
      <c r="E31" s="368"/>
      <c r="F31" s="345"/>
      <c r="G31" s="345"/>
      <c r="K31" s="102"/>
      <c r="L31" s="102"/>
      <c r="M31" s="164"/>
      <c r="N31" s="164"/>
    </row>
    <row r="32" spans="2:15" ht="16.5" customHeight="1" thickBot="1">
      <c r="B32" s="42"/>
      <c r="C32" s="25"/>
      <c r="E32" s="13"/>
      <c r="F32" s="13"/>
      <c r="O32" s="165"/>
    </row>
    <row r="33" spans="2:15" ht="16.5" customHeight="1" thickBot="1">
      <c r="B33" s="95" t="s">
        <v>141</v>
      </c>
      <c r="C33" s="25"/>
      <c r="E33" s="13"/>
      <c r="F33" s="13"/>
      <c r="L33" s="879" t="s">
        <v>190</v>
      </c>
      <c r="M33" s="880"/>
      <c r="N33" s="997"/>
      <c r="O33" s="146">
        <f>3/10</f>
        <v>0.3</v>
      </c>
    </row>
    <row r="34" spans="3:15" ht="15" customHeight="1" thickBot="1">
      <c r="C34" s="998" t="s">
        <v>31</v>
      </c>
      <c r="D34" s="998"/>
      <c r="E34" s="344" t="s">
        <v>187</v>
      </c>
      <c r="F34" s="343" t="s">
        <v>188</v>
      </c>
      <c r="L34" s="213"/>
      <c r="M34" s="213"/>
      <c r="N34" s="213"/>
      <c r="O34" s="165"/>
    </row>
    <row r="35" spans="2:15" ht="20.25" customHeight="1" thickBot="1" thickTop="1">
      <c r="B35" s="1049" t="s">
        <v>448</v>
      </c>
      <c r="C35" s="1014" t="s">
        <v>167</v>
      </c>
      <c r="D35" s="1015"/>
      <c r="E35" s="309">
        <v>465</v>
      </c>
      <c r="F35" s="342">
        <v>698</v>
      </c>
      <c r="L35" s="879" t="s">
        <v>298</v>
      </c>
      <c r="M35" s="880"/>
      <c r="N35" s="997"/>
      <c r="O35" s="146">
        <f>2/10</f>
        <v>0.2</v>
      </c>
    </row>
    <row r="36" spans="2:6" ht="18" customHeight="1">
      <c r="B36" s="1050"/>
      <c r="C36" s="1005" t="s">
        <v>168</v>
      </c>
      <c r="D36" s="1006"/>
      <c r="E36" s="310">
        <v>310</v>
      </c>
      <c r="F36" s="341">
        <v>465</v>
      </c>
    </row>
    <row r="37" spans="2:6" ht="17.25" customHeight="1" thickBot="1">
      <c r="B37" s="1050"/>
      <c r="C37" s="1051" t="s">
        <v>503</v>
      </c>
      <c r="D37" s="1052"/>
      <c r="E37" s="961" t="s">
        <v>116</v>
      </c>
      <c r="F37" s="962"/>
    </row>
    <row r="38" spans="2:17" ht="17.25" customHeight="1" thickBot="1">
      <c r="B38" s="1050"/>
      <c r="C38" s="1051" t="s">
        <v>504</v>
      </c>
      <c r="D38" s="1052"/>
      <c r="E38" s="961" t="s">
        <v>335</v>
      </c>
      <c r="F38" s="962"/>
      <c r="K38" s="1041" t="s">
        <v>31</v>
      </c>
      <c r="L38" s="1041"/>
      <c r="M38" s="1041"/>
      <c r="N38" s="1041"/>
      <c r="O38" s="65"/>
      <c r="P38" s="212" t="s">
        <v>191</v>
      </c>
      <c r="Q38" s="222" t="s">
        <v>192</v>
      </c>
    </row>
    <row r="39" spans="2:17" ht="17.25" customHeight="1" thickBot="1">
      <c r="B39" s="1050"/>
      <c r="C39" s="371" t="s">
        <v>505</v>
      </c>
      <c r="D39" s="352"/>
      <c r="E39" s="1009" t="s">
        <v>480</v>
      </c>
      <c r="F39" s="1010"/>
      <c r="K39" s="1038" t="s">
        <v>167</v>
      </c>
      <c r="L39" s="1039"/>
      <c r="M39" s="1039"/>
      <c r="N39" s="1040"/>
      <c r="O39" s="204">
        <v>225</v>
      </c>
      <c r="P39" s="215">
        <f>ROUNDUP($O$39*$O$29*$O$35,0)</f>
        <v>465</v>
      </c>
      <c r="Q39" s="220">
        <f>ROUNDUP($O$39*$O$29*$O$33,0)</f>
        <v>698</v>
      </c>
    </row>
    <row r="40" spans="2:17" ht="17.25" customHeight="1" thickTop="1">
      <c r="B40" s="485" t="s">
        <v>71</v>
      </c>
      <c r="C40" s="1003" t="s">
        <v>446</v>
      </c>
      <c r="D40" s="1004"/>
      <c r="E40" s="1007">
        <v>100</v>
      </c>
      <c r="F40" s="1008"/>
      <c r="K40" s="905" t="s">
        <v>168</v>
      </c>
      <c r="L40" s="796"/>
      <c r="M40" s="796"/>
      <c r="N40" s="943"/>
      <c r="O40" s="170">
        <v>150</v>
      </c>
      <c r="P40" s="219">
        <f>ROUNDUP($O$40*$O$29*$O$35,0)</f>
        <v>310</v>
      </c>
      <c r="Q40" s="221">
        <f>ROUNDUP($O$40*$O$29*$O$33,0)</f>
        <v>465</v>
      </c>
    </row>
    <row r="41" spans="2:17" ht="15" customHeight="1" thickBot="1">
      <c r="B41" s="486"/>
      <c r="C41" s="991" t="s">
        <v>33</v>
      </c>
      <c r="D41" s="1002"/>
      <c r="E41" s="968" t="s">
        <v>34</v>
      </c>
      <c r="F41" s="1045"/>
      <c r="K41" s="1035" t="s">
        <v>169</v>
      </c>
      <c r="L41" s="1036"/>
      <c r="M41" s="1036"/>
      <c r="N41" s="1037"/>
      <c r="O41" s="216" t="s">
        <v>116</v>
      </c>
      <c r="P41" s="214"/>
      <c r="Q41" s="223"/>
    </row>
    <row r="42" spans="2:14" ht="15" customHeight="1">
      <c r="B42" s="486"/>
      <c r="C42" s="1003" t="s">
        <v>61</v>
      </c>
      <c r="D42" s="1004"/>
      <c r="E42" s="989">
        <v>25</v>
      </c>
      <c r="F42" s="875"/>
      <c r="N42" s="13"/>
    </row>
    <row r="43" spans="2:6" ht="15" customHeight="1">
      <c r="B43" s="486"/>
      <c r="C43" s="70" t="s">
        <v>323</v>
      </c>
      <c r="D43" s="71"/>
      <c r="E43" s="989">
        <v>30</v>
      </c>
      <c r="F43" s="875"/>
    </row>
    <row r="44" spans="2:6" ht="15" customHeight="1">
      <c r="B44" s="486"/>
      <c r="C44" s="1024" t="s">
        <v>62</v>
      </c>
      <c r="D44" s="1006"/>
      <c r="E44" s="989">
        <v>70</v>
      </c>
      <c r="F44" s="875"/>
    </row>
    <row r="45" spans="2:6" ht="15" customHeight="1">
      <c r="B45" s="486"/>
      <c r="C45" s="1024" t="s">
        <v>322</v>
      </c>
      <c r="D45" s="1006"/>
      <c r="E45" s="989">
        <v>100</v>
      </c>
      <c r="F45" s="875"/>
    </row>
    <row r="46" spans="2:6" ht="15" customHeight="1">
      <c r="B46" s="486"/>
      <c r="C46" s="991" t="s">
        <v>53</v>
      </c>
      <c r="D46" s="1002"/>
      <c r="E46" s="989">
        <v>1500</v>
      </c>
      <c r="F46" s="875"/>
    </row>
    <row r="47" spans="2:6" ht="15" customHeight="1">
      <c r="B47" s="486"/>
      <c r="C47" s="991" t="s">
        <v>36</v>
      </c>
      <c r="D47" s="1002"/>
      <c r="E47" s="989">
        <v>500</v>
      </c>
      <c r="F47" s="875"/>
    </row>
    <row r="48" spans="2:6" ht="15" customHeight="1">
      <c r="B48" s="486"/>
      <c r="C48" s="1024" t="s">
        <v>63</v>
      </c>
      <c r="D48" s="1006"/>
      <c r="E48" s="795" t="s">
        <v>373</v>
      </c>
      <c r="F48" s="797"/>
    </row>
    <row r="49" spans="2:6" ht="15" customHeight="1">
      <c r="B49" s="486"/>
      <c r="C49" s="1024" t="s">
        <v>64</v>
      </c>
      <c r="D49" s="1006"/>
      <c r="E49" s="905" t="s">
        <v>374</v>
      </c>
      <c r="F49" s="797"/>
    </row>
    <row r="50" spans="2:6" ht="15" customHeight="1">
      <c r="B50" s="486"/>
      <c r="C50" s="1024" t="s">
        <v>65</v>
      </c>
      <c r="D50" s="1006"/>
      <c r="E50" s="905" t="s">
        <v>375</v>
      </c>
      <c r="F50" s="797"/>
    </row>
    <row r="51" spans="2:6" ht="15" customHeight="1">
      <c r="B51" s="486"/>
      <c r="C51" s="1024" t="s">
        <v>66</v>
      </c>
      <c r="D51" s="1006"/>
      <c r="E51" s="989">
        <v>1000</v>
      </c>
      <c r="F51" s="875"/>
    </row>
    <row r="52" spans="2:6" ht="15" customHeight="1" thickBot="1">
      <c r="B52" s="487"/>
      <c r="C52" s="1026" t="s">
        <v>56</v>
      </c>
      <c r="D52" s="1027"/>
      <c r="E52" s="990">
        <v>500</v>
      </c>
      <c r="F52" s="900"/>
    </row>
    <row r="53" spans="5:6" ht="15" customHeight="1">
      <c r="E53" s="13"/>
      <c r="F53" s="13"/>
    </row>
    <row r="54" spans="3:6" ht="15" customHeight="1">
      <c r="C54" s="224" t="s">
        <v>445</v>
      </c>
      <c r="D54" s="224"/>
      <c r="E54" s="225"/>
      <c r="F54" s="225"/>
    </row>
    <row r="55" spans="3:8" ht="19.5" customHeight="1">
      <c r="C55" s="25" t="s">
        <v>161</v>
      </c>
      <c r="E55" s="13"/>
      <c r="F55" s="13"/>
      <c r="G55" s="224"/>
      <c r="H55" s="224"/>
    </row>
    <row r="56" spans="3:8" ht="12.75" customHeight="1">
      <c r="C56" t="s">
        <v>67</v>
      </c>
      <c r="E56" s="13"/>
      <c r="F56" s="13"/>
      <c r="G56" s="224"/>
      <c r="H56" s="224"/>
    </row>
    <row r="57" spans="3:7" ht="12.75" customHeight="1">
      <c r="C57" t="s">
        <v>68</v>
      </c>
      <c r="E57" s="13"/>
      <c r="F57" s="13"/>
      <c r="G57" s="13"/>
    </row>
    <row r="58" spans="5:6" ht="13.5">
      <c r="E58" s="13"/>
      <c r="F58" s="13"/>
    </row>
    <row r="59" spans="3:6" ht="13.5">
      <c r="C59" t="s">
        <v>69</v>
      </c>
      <c r="E59" s="13"/>
      <c r="F59" s="13"/>
    </row>
    <row r="60" spans="3:6" ht="13.5">
      <c r="C60" s="64"/>
      <c r="D60" s="64"/>
      <c r="E60" s="64" t="s">
        <v>97</v>
      </c>
      <c r="F60" s="64"/>
    </row>
    <row r="62" ht="13.5">
      <c r="H62" s="109"/>
    </row>
    <row r="67" spans="3:6" ht="25.5">
      <c r="C67" s="1028" t="s">
        <v>106</v>
      </c>
      <c r="D67" s="1028"/>
      <c r="E67" s="202" t="s">
        <v>107</v>
      </c>
      <c r="F67" s="202"/>
    </row>
    <row r="68" spans="3:6" ht="25.5">
      <c r="C68" s="1025">
        <f>ROUNDUP(72*10.33*0.1,0)</f>
        <v>75</v>
      </c>
      <c r="D68" s="1025"/>
      <c r="E68" s="130" t="s">
        <v>108</v>
      </c>
      <c r="F68" s="130"/>
    </row>
    <row r="69" spans="3:8" ht="25.5">
      <c r="C69" s="1025">
        <f>ROUNDUP(144*10.33*0.1,0)</f>
        <v>149</v>
      </c>
      <c r="D69" s="1025"/>
      <c r="E69" s="131" t="s">
        <v>109</v>
      </c>
      <c r="F69" s="131"/>
      <c r="G69" s="202"/>
      <c r="H69" s="202"/>
    </row>
    <row r="70" spans="3:8" ht="39" customHeight="1">
      <c r="C70" t="s">
        <v>111</v>
      </c>
      <c r="E70" t="s">
        <v>110</v>
      </c>
      <c r="G70" s="130">
        <f>ROUNDUP(1712*10.33*0.1,0)</f>
        <v>1769</v>
      </c>
      <c r="H70" s="130"/>
    </row>
    <row r="71" spans="7:8" ht="49.5" customHeight="1">
      <c r="G71" s="131">
        <f>ROUNDUP(3615*10.33*0.1,0)</f>
        <v>3735</v>
      </c>
      <c r="H71" s="131"/>
    </row>
    <row r="72" ht="49.5" customHeight="1"/>
    <row r="73" ht="39" customHeight="1"/>
    <row r="74" ht="39" customHeight="1"/>
    <row r="75" ht="39" customHeight="1"/>
    <row r="76" ht="39" customHeight="1"/>
    <row r="77" ht="39" customHeight="1"/>
    <row r="78" ht="26.25" customHeight="1"/>
    <row r="79" ht="26.25" customHeight="1"/>
    <row r="80" ht="26.25" customHeight="1"/>
    <row r="81" ht="26.25" customHeight="1"/>
    <row r="82" ht="26.25" customHeight="1"/>
    <row r="83" ht="26.25" customHeight="1"/>
    <row r="84" ht="26.25" customHeight="1"/>
    <row r="85" ht="26.25" customHeight="1"/>
  </sheetData>
  <sheetProtection/>
  <mergeCells count="96">
    <mergeCell ref="B40:B52"/>
    <mergeCell ref="B35:B39"/>
    <mergeCell ref="E39:F39"/>
    <mergeCell ref="C37:D37"/>
    <mergeCell ref="C38:D38"/>
    <mergeCell ref="K6:L6"/>
    <mergeCell ref="K17:L17"/>
    <mergeCell ref="C14:D14"/>
    <mergeCell ref="E14:F14"/>
    <mergeCell ref="E7:E9"/>
    <mergeCell ref="E50:F50"/>
    <mergeCell ref="E49:F49"/>
    <mergeCell ref="M10:M11"/>
    <mergeCell ref="N10:O11"/>
    <mergeCell ref="L18:L20"/>
    <mergeCell ref="M18:M20"/>
    <mergeCell ref="E48:F48"/>
    <mergeCell ref="E47:F47"/>
    <mergeCell ref="M21:M22"/>
    <mergeCell ref="N21:O22"/>
    <mergeCell ref="C11:D11"/>
    <mergeCell ref="K12:K13"/>
    <mergeCell ref="L12:L13"/>
    <mergeCell ref="M12:M13"/>
    <mergeCell ref="N12:O13"/>
    <mergeCell ref="E13:F13"/>
    <mergeCell ref="E10:E12"/>
    <mergeCell ref="C10:D10"/>
    <mergeCell ref="L10:L11"/>
    <mergeCell ref="F7:F9"/>
    <mergeCell ref="K7:K9"/>
    <mergeCell ref="L7:L9"/>
    <mergeCell ref="K10:K11"/>
    <mergeCell ref="F10:F12"/>
    <mergeCell ref="M7:M9"/>
    <mergeCell ref="N7:O7"/>
    <mergeCell ref="N8:O9"/>
    <mergeCell ref="E41:F41"/>
    <mergeCell ref="E40:F40"/>
    <mergeCell ref="E37:F37"/>
    <mergeCell ref="K21:K22"/>
    <mergeCell ref="N18:O18"/>
    <mergeCell ref="K18:K20"/>
    <mergeCell ref="N19:O20"/>
    <mergeCell ref="M23:M24"/>
    <mergeCell ref="E45:F45"/>
    <mergeCell ref="E44:F44"/>
    <mergeCell ref="E43:F43"/>
    <mergeCell ref="E42:F42"/>
    <mergeCell ref="F21:F23"/>
    <mergeCell ref="L23:L24"/>
    <mergeCell ref="L21:L22"/>
    <mergeCell ref="N23:O24"/>
    <mergeCell ref="K41:N41"/>
    <mergeCell ref="L33:N33"/>
    <mergeCell ref="K39:N39"/>
    <mergeCell ref="K40:N40"/>
    <mergeCell ref="K38:N38"/>
    <mergeCell ref="L35:N35"/>
    <mergeCell ref="C36:D36"/>
    <mergeCell ref="C20:D20"/>
    <mergeCell ref="C21:D21"/>
    <mergeCell ref="E21:E23"/>
    <mergeCell ref="C22:D22"/>
    <mergeCell ref="F18:F20"/>
    <mergeCell ref="E18:E20"/>
    <mergeCell ref="C48:D48"/>
    <mergeCell ref="M29:N29"/>
    <mergeCell ref="K23:K24"/>
    <mergeCell ref="C4:D4"/>
    <mergeCell ref="C6:D6"/>
    <mergeCell ref="C25:D25"/>
    <mergeCell ref="C35:D35"/>
    <mergeCell ref="C34:D34"/>
    <mergeCell ref="C9:D9"/>
    <mergeCell ref="B30:E30"/>
    <mergeCell ref="E52:F52"/>
    <mergeCell ref="E24:F24"/>
    <mergeCell ref="E25:F25"/>
    <mergeCell ref="C67:D67"/>
    <mergeCell ref="C68:D68"/>
    <mergeCell ref="C69:D69"/>
    <mergeCell ref="C44:D44"/>
    <mergeCell ref="C46:D46"/>
    <mergeCell ref="C47:D47"/>
    <mergeCell ref="C45:D45"/>
    <mergeCell ref="E51:F51"/>
    <mergeCell ref="C49:D49"/>
    <mergeCell ref="E38:F38"/>
    <mergeCell ref="C50:D50"/>
    <mergeCell ref="C51:D51"/>
    <mergeCell ref="C52:D52"/>
    <mergeCell ref="C40:D40"/>
    <mergeCell ref="C41:D41"/>
    <mergeCell ref="C42:D42"/>
    <mergeCell ref="E46:F46"/>
  </mergeCells>
  <printOptions/>
  <pageMargins left="0.7874015748031497" right="0" top="0.5118110236220472" bottom="0.4724409448818898" header="0.2755905511811024" footer="0.35433070866141736"/>
  <pageSetup horizontalDpi="600" verticalDpi="600" orientation="portrait" paperSize="9" scale="89"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tabColor rgb="FF00B050"/>
  </sheetPr>
  <dimension ref="A2:AD59"/>
  <sheetViews>
    <sheetView view="pageBreakPreview" zoomScale="96" zoomScaleNormal="51" zoomScaleSheetLayoutView="96" zoomScalePageLayoutView="0" workbookViewId="0" topLeftCell="A1">
      <selection activeCell="B6" sqref="B6:E6"/>
    </sheetView>
  </sheetViews>
  <sheetFormatPr defaultColWidth="9.00390625" defaultRowHeight="13.5"/>
  <cols>
    <col min="1" max="1" width="3.50390625" style="0" customWidth="1"/>
    <col min="2" max="2" width="7.25390625" style="0" customWidth="1"/>
    <col min="3" max="3" width="16.75390625" style="25" customWidth="1"/>
    <col min="4" max="5" width="16.75390625" style="0" customWidth="1"/>
    <col min="6" max="7" width="8.50390625" style="0" customWidth="1"/>
    <col min="8" max="10" width="12.625" style="0" customWidth="1"/>
    <col min="11" max="11" width="10.125" style="0" customWidth="1"/>
    <col min="12" max="13" width="10.625" style="0" customWidth="1"/>
    <col min="14" max="14" width="11.25390625" style="0" customWidth="1"/>
    <col min="15" max="15" width="10.00390625" style="0" customWidth="1"/>
    <col min="16" max="19" width="10.625" style="0" customWidth="1"/>
    <col min="20" max="20" width="5.00390625" style="0" customWidth="1"/>
    <col min="21" max="21" width="13.25390625" style="13" customWidth="1"/>
    <col min="22" max="23" width="13.25390625" style="0" customWidth="1"/>
    <col min="26" max="26" width="9.75390625" style="0" customWidth="1"/>
    <col min="27" max="27" width="10.125" style="0" customWidth="1"/>
    <col min="28" max="28" width="9.00390625" style="0" customWidth="1"/>
    <col min="31" max="31" width="9.00390625" style="0" customWidth="1"/>
  </cols>
  <sheetData>
    <row r="2" spans="2:11" ht="21">
      <c r="B2" s="1"/>
      <c r="C2" s="12" t="s">
        <v>0</v>
      </c>
      <c r="D2" s="46"/>
      <c r="E2" s="46"/>
      <c r="F2" s="1"/>
      <c r="G2" s="47" t="s">
        <v>1</v>
      </c>
      <c r="H2" s="47"/>
      <c r="I2" s="47"/>
      <c r="J2" s="12"/>
      <c r="K2" s="12"/>
    </row>
    <row r="3" spans="10:12" ht="17.25" customHeight="1" thickBot="1">
      <c r="J3" s="5" t="s">
        <v>474</v>
      </c>
      <c r="K3" s="5"/>
      <c r="L3" s="5"/>
    </row>
    <row r="4" spans="2:10" ht="20.25" customHeight="1" thickBot="1">
      <c r="B4" s="602" t="s">
        <v>510</v>
      </c>
      <c r="C4" s="603"/>
      <c r="D4" s="603"/>
      <c r="E4" s="603"/>
      <c r="F4" s="603"/>
      <c r="G4" s="604"/>
      <c r="H4" s="605"/>
      <c r="I4" s="606"/>
      <c r="J4" s="607"/>
    </row>
    <row r="5" spans="2:10" ht="20.25" customHeight="1">
      <c r="B5" s="320"/>
      <c r="C5" s="320"/>
      <c r="D5" s="320"/>
      <c r="E5" s="320"/>
      <c r="F5" s="320"/>
      <c r="G5" s="320"/>
      <c r="H5" s="320"/>
      <c r="I5" s="298"/>
      <c r="J5" s="14"/>
    </row>
    <row r="6" spans="2:12" ht="27" customHeight="1" thickBot="1">
      <c r="B6" s="817" t="s">
        <v>3</v>
      </c>
      <c r="C6" s="817"/>
      <c r="D6" s="817"/>
      <c r="E6" s="817"/>
      <c r="J6" s="8"/>
      <c r="K6" s="8"/>
      <c r="L6" s="8"/>
    </row>
    <row r="7" spans="2:28" ht="18" customHeight="1" thickBot="1">
      <c r="B7" s="319"/>
      <c r="C7" s="820" t="s">
        <v>494</v>
      </c>
      <c r="D7" s="821"/>
      <c r="E7" s="821"/>
      <c r="F7" s="818" t="s">
        <v>71</v>
      </c>
      <c r="G7" s="819"/>
      <c r="H7" s="822" t="s">
        <v>49</v>
      </c>
      <c r="I7" s="825" t="s">
        <v>381</v>
      </c>
      <c r="J7" s="825" t="s">
        <v>382</v>
      </c>
      <c r="W7" s="724" t="s">
        <v>292</v>
      </c>
      <c r="X7" s="810"/>
      <c r="Y7" s="810"/>
      <c r="Z7" s="810"/>
      <c r="AA7" s="810"/>
      <c r="AB7" s="810"/>
    </row>
    <row r="8" spans="2:23" ht="32.25" customHeight="1">
      <c r="B8" s="829" t="s">
        <v>6</v>
      </c>
      <c r="C8" s="663" t="s">
        <v>497</v>
      </c>
      <c r="D8" s="663" t="s">
        <v>495</v>
      </c>
      <c r="E8" s="663" t="s">
        <v>496</v>
      </c>
      <c r="F8" s="831" t="s">
        <v>48</v>
      </c>
      <c r="G8" s="831" t="s">
        <v>11</v>
      </c>
      <c r="H8" s="823"/>
      <c r="I8" s="826"/>
      <c r="J8" s="826"/>
      <c r="P8" s="829" t="s">
        <v>6</v>
      </c>
      <c r="Q8" s="463" t="s">
        <v>508</v>
      </c>
      <c r="R8" s="625" t="s">
        <v>371</v>
      </c>
      <c r="S8" s="463" t="s">
        <v>96</v>
      </c>
      <c r="T8" s="465"/>
      <c r="U8" s="1069" t="s">
        <v>158</v>
      </c>
      <c r="V8" s="1059" t="s">
        <v>328</v>
      </c>
      <c r="W8" s="422" t="s">
        <v>475</v>
      </c>
    </row>
    <row r="9" spans="2:23" ht="24.75" customHeight="1" thickBot="1">
      <c r="B9" s="830"/>
      <c r="C9" s="669"/>
      <c r="D9" s="669"/>
      <c r="E9" s="669"/>
      <c r="F9" s="832"/>
      <c r="G9" s="832"/>
      <c r="H9" s="824"/>
      <c r="I9" s="827"/>
      <c r="J9" s="827"/>
      <c r="P9" s="830"/>
      <c r="Q9" s="533"/>
      <c r="R9" s="626"/>
      <c r="S9" s="533" t="s">
        <v>329</v>
      </c>
      <c r="T9" s="538"/>
      <c r="U9" s="687"/>
      <c r="V9" s="641"/>
      <c r="W9" s="86" t="s">
        <v>78</v>
      </c>
    </row>
    <row r="10" spans="2:23" ht="24.75" customHeight="1">
      <c r="B10" s="48">
        <v>1</v>
      </c>
      <c r="C10" s="374">
        <f>+S10+U10+V10+W10</f>
        <v>348</v>
      </c>
      <c r="D10" s="303" t="e">
        <f>+S10+#REF!+#REF!+#REF!+#REF!</f>
        <v>#REF!</v>
      </c>
      <c r="E10" s="303" t="e">
        <f>+S10+#REF!+#REF!+#REF!+#REF!</f>
        <v>#REF!</v>
      </c>
      <c r="F10" s="466">
        <v>500</v>
      </c>
      <c r="G10" s="564">
        <v>100</v>
      </c>
      <c r="H10" s="404">
        <f>SUM($C10,$F$10:$G$14)</f>
        <v>948</v>
      </c>
      <c r="I10" s="405" t="e">
        <f>SUM($D10,$F$10:$G$14)</f>
        <v>#REF!</v>
      </c>
      <c r="J10" s="405" t="e">
        <f>SUM($E10,$F$10:$G$14)</f>
        <v>#REF!</v>
      </c>
      <c r="P10" s="154">
        <v>1</v>
      </c>
      <c r="Q10" s="614">
        <v>307</v>
      </c>
      <c r="R10" s="614">
        <v>6</v>
      </c>
      <c r="S10" s="1060">
        <f>ROUNDUP(($Q$10+$R$10)*$Y$28*$Y$30,0)</f>
        <v>324</v>
      </c>
      <c r="T10" s="1061"/>
      <c r="U10" s="1053">
        <f>ROUND(($Q$10+$R$10)*$Y$22,0)</f>
        <v>15</v>
      </c>
      <c r="V10" s="1053">
        <f>ROUND(($Q$10+$R$10)*$Y$24,0)</f>
        <v>6</v>
      </c>
      <c r="W10" s="1066">
        <f>ROUND(($Q$10+$R$10)*$Y$26,0)</f>
        <v>3</v>
      </c>
    </row>
    <row r="11" spans="2:23" ht="24.75" customHeight="1">
      <c r="B11" s="48">
        <v>2</v>
      </c>
      <c r="C11" s="190">
        <f>+S11+U11+V11+W11</f>
        <v>0</v>
      </c>
      <c r="D11" s="304" t="e">
        <f>+S11+#REF!+#REF!+#REF!+#REF!</f>
        <v>#REF!</v>
      </c>
      <c r="E11" s="380" t="e">
        <f>+S11+#REF!+#REF!+#REF!+#REF!</f>
        <v>#REF!</v>
      </c>
      <c r="F11" s="836"/>
      <c r="G11" s="838"/>
      <c r="H11" s="404">
        <f>SUM($C11,$F$10:$G$14)</f>
        <v>600</v>
      </c>
      <c r="I11" s="405" t="e">
        <f>SUM($D11,$F$10:$G$14)</f>
        <v>#REF!</v>
      </c>
      <c r="J11" s="405" t="e">
        <f>SUM($E11,$F$10:$G$14)</f>
        <v>#REF!</v>
      </c>
      <c r="P11" s="155">
        <v>2</v>
      </c>
      <c r="Q11" s="615"/>
      <c r="R11" s="615"/>
      <c r="S11" s="1062"/>
      <c r="T11" s="1063"/>
      <c r="U11" s="1054"/>
      <c r="V11" s="1054"/>
      <c r="W11" s="1067"/>
    </row>
    <row r="12" spans="2:23" ht="24.75" customHeight="1">
      <c r="B12" s="48">
        <v>3</v>
      </c>
      <c r="C12" s="190">
        <f>+S12+U12+V12+W12</f>
        <v>0</v>
      </c>
      <c r="D12" s="304" t="e">
        <f>+S12+#REF!+#REF!+#REF!+#REF!</f>
        <v>#REF!</v>
      </c>
      <c r="E12" s="380" t="e">
        <f>+S12+#REF!+#REF!+#REF!+#REF!</f>
        <v>#REF!</v>
      </c>
      <c r="F12" s="836"/>
      <c r="G12" s="838"/>
      <c r="H12" s="404">
        <f>SUM($C12,$F$10:$G$14)</f>
        <v>600</v>
      </c>
      <c r="I12" s="405" t="e">
        <f>SUM($D12,$F$10:$G$14)</f>
        <v>#REF!</v>
      </c>
      <c r="J12" s="405" t="e">
        <f>SUM($E12,$F$10:$G$14)</f>
        <v>#REF!</v>
      </c>
      <c r="P12" s="155">
        <v>3</v>
      </c>
      <c r="Q12" s="615"/>
      <c r="R12" s="615"/>
      <c r="S12" s="1062"/>
      <c r="T12" s="1063"/>
      <c r="U12" s="1054"/>
      <c r="V12" s="1054"/>
      <c r="W12" s="1067"/>
    </row>
    <row r="13" spans="2:23" ht="24.75" customHeight="1">
      <c r="B13" s="48">
        <v>4</v>
      </c>
      <c r="C13" s="190">
        <f>+S13+U13+V13+W13</f>
        <v>0</v>
      </c>
      <c r="D13" s="304" t="e">
        <f>+S13+#REF!+#REF!+#REF!+#REF!</f>
        <v>#REF!</v>
      </c>
      <c r="E13" s="380" t="e">
        <f>+S13+#REF!+#REF!+#REF!+#REF!</f>
        <v>#REF!</v>
      </c>
      <c r="F13" s="836"/>
      <c r="G13" s="838"/>
      <c r="H13" s="404">
        <f>SUM($C13,$F$10:$G$14)</f>
        <v>600</v>
      </c>
      <c r="I13" s="405" t="e">
        <f>SUM($D13,$F$10:$G$14)</f>
        <v>#REF!</v>
      </c>
      <c r="J13" s="405" t="e">
        <f>SUM($E13,$F$10:$G$14)</f>
        <v>#REF!</v>
      </c>
      <c r="P13" s="155">
        <v>4</v>
      </c>
      <c r="Q13" s="615"/>
      <c r="R13" s="615"/>
      <c r="S13" s="1062"/>
      <c r="T13" s="1063"/>
      <c r="U13" s="1054"/>
      <c r="V13" s="1054"/>
      <c r="W13" s="1067"/>
    </row>
    <row r="14" spans="2:23" ht="24.75" customHeight="1" thickBot="1">
      <c r="B14" s="49">
        <v>5</v>
      </c>
      <c r="C14" s="411">
        <f>+S14+U14+V14+W14</f>
        <v>0</v>
      </c>
      <c r="D14" s="403" t="e">
        <f>+S14+#REF!+#REF!+#REF!+#REF!</f>
        <v>#REF!</v>
      </c>
      <c r="E14" s="412" t="e">
        <f>+S14+#REF!+#REF!+#REF!+#REF!</f>
        <v>#REF!</v>
      </c>
      <c r="F14" s="837"/>
      <c r="G14" s="839"/>
      <c r="H14" s="406">
        <f>SUM($C14,$F$10:$G$14)</f>
        <v>600</v>
      </c>
      <c r="I14" s="407" t="e">
        <f>SUM($D14,$F$10:$G$14)</f>
        <v>#REF!</v>
      </c>
      <c r="J14" s="407" t="e">
        <f>SUM($E14,$F$10:$G$14)</f>
        <v>#REF!</v>
      </c>
      <c r="P14" s="156">
        <v>5</v>
      </c>
      <c r="Q14" s="616"/>
      <c r="R14" s="616"/>
      <c r="S14" s="1064"/>
      <c r="T14" s="1065"/>
      <c r="U14" s="1054"/>
      <c r="V14" s="1055"/>
      <c r="W14" s="1068"/>
    </row>
    <row r="15" spans="2:14" ht="14.25" customHeight="1">
      <c r="B15" s="50"/>
      <c r="C15" s="408"/>
      <c r="D15" s="51"/>
      <c r="E15" s="51"/>
      <c r="F15" s="52"/>
      <c r="G15" s="52"/>
      <c r="H15" s="52"/>
      <c r="I15" s="52"/>
      <c r="J15" s="52"/>
      <c r="K15" s="52"/>
      <c r="L15" s="52"/>
      <c r="M15" s="53"/>
      <c r="N15" s="54"/>
    </row>
    <row r="16" spans="2:14" ht="21" customHeight="1">
      <c r="B16" s="42" t="s">
        <v>486</v>
      </c>
      <c r="C16" s="183"/>
      <c r="D16" s="183"/>
      <c r="E16" s="183"/>
      <c r="F16" s="183"/>
      <c r="G16" s="183"/>
      <c r="H16" s="183"/>
      <c r="I16" s="183"/>
      <c r="J16" s="52"/>
      <c r="K16" s="52"/>
      <c r="L16" s="52"/>
      <c r="M16" s="53"/>
      <c r="N16" s="54"/>
    </row>
    <row r="17" spans="2:14" ht="21" customHeight="1">
      <c r="B17" s="42" t="s">
        <v>502</v>
      </c>
      <c r="C17" s="183"/>
      <c r="D17" s="183"/>
      <c r="E17" s="183"/>
      <c r="F17" s="183"/>
      <c r="G17" s="183"/>
      <c r="H17" s="183"/>
      <c r="I17" s="183"/>
      <c r="J17" s="52"/>
      <c r="K17" s="52"/>
      <c r="L17" s="52"/>
      <c r="M17" s="53"/>
      <c r="N17" s="54"/>
    </row>
    <row r="18" spans="2:22" ht="21" customHeight="1">
      <c r="B18" s="42" t="s">
        <v>159</v>
      </c>
      <c r="C18" s="42"/>
      <c r="D18" s="42"/>
      <c r="E18" s="42"/>
      <c r="F18" s="42"/>
      <c r="G18" s="42"/>
      <c r="H18" s="42"/>
      <c r="I18" s="42"/>
      <c r="J18" s="52"/>
      <c r="K18" s="52"/>
      <c r="L18" s="52"/>
      <c r="M18" s="53"/>
      <c r="N18" s="54"/>
      <c r="V18" s="11"/>
    </row>
    <row r="19" spans="2:22" ht="21" customHeight="1">
      <c r="B19" s="184" t="s">
        <v>141</v>
      </c>
      <c r="C19" s="184"/>
      <c r="D19" s="184"/>
      <c r="E19" s="184"/>
      <c r="F19" s="184"/>
      <c r="G19" s="184"/>
      <c r="H19" s="184"/>
      <c r="I19" s="184"/>
      <c r="J19" s="52"/>
      <c r="K19" s="52"/>
      <c r="L19" s="52"/>
      <c r="M19" s="53"/>
      <c r="N19" s="54"/>
      <c r="V19" s="11"/>
    </row>
    <row r="20" spans="2:14" ht="21" customHeight="1">
      <c r="B20" s="184"/>
      <c r="C20" s="184"/>
      <c r="D20" s="184"/>
      <c r="E20" s="184"/>
      <c r="F20" s="184"/>
      <c r="G20" s="184"/>
      <c r="H20" s="184"/>
      <c r="I20" s="184"/>
      <c r="J20" s="52"/>
      <c r="K20" s="52"/>
      <c r="L20" s="52"/>
      <c r="M20" s="53"/>
      <c r="N20" s="54"/>
    </row>
    <row r="21" spans="2:14" ht="21" customHeight="1" thickBot="1">
      <c r="B21" s="184"/>
      <c r="C21" s="55"/>
      <c r="D21" s="55"/>
      <c r="E21" s="55"/>
      <c r="F21" s="184"/>
      <c r="G21" s="184"/>
      <c r="H21" s="184"/>
      <c r="I21" s="184"/>
      <c r="K21" s="166"/>
      <c r="M21" s="53"/>
      <c r="N21" s="54"/>
    </row>
    <row r="22" spans="2:27" ht="21" customHeight="1" thickBot="1">
      <c r="B22" s="852" t="s">
        <v>50</v>
      </c>
      <c r="C22" s="852"/>
      <c r="D22" s="852"/>
      <c r="E22" s="852"/>
      <c r="K22" s="166"/>
      <c r="M22" s="53"/>
      <c r="N22" s="54"/>
      <c r="S22" s="13"/>
      <c r="U22" s="879" t="s">
        <v>330</v>
      </c>
      <c r="V22" s="880"/>
      <c r="W22" s="880"/>
      <c r="X22" s="881"/>
      <c r="Y22" s="135">
        <f>47/1000</f>
        <v>0.047</v>
      </c>
      <c r="Z22" s="163"/>
      <c r="AA22" s="163"/>
    </row>
    <row r="23" spans="2:27" ht="10.5" customHeight="1" thickBot="1">
      <c r="B23" s="410" t="s">
        <v>85</v>
      </c>
      <c r="C23" s="317"/>
      <c r="D23" s="317"/>
      <c r="E23" s="317"/>
      <c r="F23" s="317"/>
      <c r="G23" s="318"/>
      <c r="S23" s="13"/>
      <c r="U23" s="256"/>
      <c r="V23" s="256"/>
      <c r="W23" s="256"/>
      <c r="X23" s="256"/>
      <c r="Y23" s="163"/>
      <c r="Z23" s="163"/>
      <c r="AA23" s="163"/>
    </row>
    <row r="24" spans="1:27" ht="27" customHeight="1" thickBot="1" thickTop="1">
      <c r="A24" s="856" t="s">
        <v>170</v>
      </c>
      <c r="B24" s="889" t="s">
        <v>452</v>
      </c>
      <c r="C24" s="890"/>
      <c r="D24" s="890"/>
      <c r="E24" s="858">
        <v>104</v>
      </c>
      <c r="F24" s="859"/>
      <c r="G24" s="860"/>
      <c r="H24" s="42" t="s">
        <v>449</v>
      </c>
      <c r="I24" s="104"/>
      <c r="J24" s="104"/>
      <c r="K24" s="100"/>
      <c r="L24" s="104"/>
      <c r="S24" s="13"/>
      <c r="U24" s="879" t="s">
        <v>331</v>
      </c>
      <c r="V24" s="880"/>
      <c r="W24" s="880"/>
      <c r="X24" s="881"/>
      <c r="Y24" s="135">
        <v>0.02</v>
      </c>
      <c r="Z24" s="163"/>
      <c r="AA24" s="163"/>
    </row>
    <row r="25" spans="1:27" ht="25.5" customHeight="1" thickBot="1">
      <c r="A25" s="857"/>
      <c r="B25" s="893" t="s">
        <v>387</v>
      </c>
      <c r="C25" s="894"/>
      <c r="D25" s="894"/>
      <c r="E25" s="861">
        <v>-49</v>
      </c>
      <c r="F25" s="862"/>
      <c r="G25" s="863"/>
      <c r="H25" s="98" t="s">
        <v>488</v>
      </c>
      <c r="I25" s="42"/>
      <c r="J25" s="100"/>
      <c r="K25" s="42"/>
      <c r="L25" s="42"/>
      <c r="S25" s="13"/>
      <c r="U25" s="213"/>
      <c r="V25" s="213"/>
      <c r="W25" s="213"/>
      <c r="X25" s="213"/>
      <c r="Y25" s="163"/>
      <c r="Z25" s="163"/>
      <c r="AA25" s="163"/>
    </row>
    <row r="26" spans="1:27" ht="24" customHeight="1" thickBot="1">
      <c r="A26" s="857"/>
      <c r="B26" s="864" t="s">
        <v>400</v>
      </c>
      <c r="C26" s="865"/>
      <c r="D26" s="865"/>
      <c r="E26" s="842" t="s">
        <v>337</v>
      </c>
      <c r="F26" s="843"/>
      <c r="G26" s="844"/>
      <c r="H26" s="98" t="s">
        <v>487</v>
      </c>
      <c r="I26" s="42"/>
      <c r="J26" s="42"/>
      <c r="K26" s="42"/>
      <c r="L26" s="42"/>
      <c r="M26" s="42"/>
      <c r="N26" s="42"/>
      <c r="O26" s="42"/>
      <c r="S26" s="13"/>
      <c r="U26" s="879" t="s">
        <v>475</v>
      </c>
      <c r="V26" s="880"/>
      <c r="W26" s="880"/>
      <c r="X26" s="881"/>
      <c r="Y26" s="135">
        <v>0.01</v>
      </c>
      <c r="Z26" s="163"/>
      <c r="AA26" s="163"/>
    </row>
    <row r="27" spans="1:21" ht="24" customHeight="1" thickBot="1">
      <c r="A27" s="857"/>
      <c r="B27" s="864" t="s">
        <v>405</v>
      </c>
      <c r="C27" s="865"/>
      <c r="D27" s="865"/>
      <c r="E27" s="842" t="s">
        <v>338</v>
      </c>
      <c r="F27" s="843"/>
      <c r="G27" s="844"/>
      <c r="H27" s="104" t="s">
        <v>311</v>
      </c>
      <c r="I27" s="184"/>
      <c r="J27" s="184"/>
      <c r="K27" s="184"/>
      <c r="L27" s="184"/>
      <c r="M27" s="42"/>
      <c r="N27" s="42"/>
      <c r="O27" s="42"/>
      <c r="S27" s="118"/>
      <c r="U27"/>
    </row>
    <row r="28" spans="1:27" ht="24" customHeight="1" thickBot="1">
      <c r="A28" s="857"/>
      <c r="B28" s="864" t="s">
        <v>401</v>
      </c>
      <c r="C28" s="865"/>
      <c r="D28" s="865"/>
      <c r="E28" s="842" t="s">
        <v>395</v>
      </c>
      <c r="F28" s="843"/>
      <c r="G28" s="844"/>
      <c r="H28" s="100" t="s">
        <v>310</v>
      </c>
      <c r="I28" s="182"/>
      <c r="J28" s="182"/>
      <c r="K28" s="182"/>
      <c r="L28" s="182"/>
      <c r="M28" s="42"/>
      <c r="N28" s="42"/>
      <c r="O28" s="42"/>
      <c r="S28" s="418"/>
      <c r="T28" s="89"/>
      <c r="U28" s="853" t="s">
        <v>123</v>
      </c>
      <c r="V28" s="854"/>
      <c r="W28" s="854"/>
      <c r="X28" s="855"/>
      <c r="Y28" s="157">
        <v>10.33</v>
      </c>
      <c r="Z28" s="164"/>
      <c r="AA28" s="164"/>
    </row>
    <row r="29" spans="1:21" ht="24" customHeight="1" thickBot="1">
      <c r="A29" s="857"/>
      <c r="B29" s="864" t="s">
        <v>403</v>
      </c>
      <c r="C29" s="865"/>
      <c r="D29" s="865"/>
      <c r="E29" s="842" t="s">
        <v>396</v>
      </c>
      <c r="F29" s="843"/>
      <c r="G29" s="844"/>
      <c r="H29" s="104" t="s">
        <v>83</v>
      </c>
      <c r="I29" s="184"/>
      <c r="J29" s="184"/>
      <c r="K29" s="99" t="s">
        <v>84</v>
      </c>
      <c r="L29" s="184"/>
      <c r="M29" s="184"/>
      <c r="N29" s="184"/>
      <c r="O29" s="42"/>
      <c r="S29" s="423"/>
      <c r="T29" s="89"/>
      <c r="U29"/>
    </row>
    <row r="30" spans="1:27" ht="24" customHeight="1" thickBot="1">
      <c r="A30" s="857"/>
      <c r="B30" s="864" t="s">
        <v>402</v>
      </c>
      <c r="C30" s="865"/>
      <c r="D30" s="865"/>
      <c r="E30" s="842" t="s">
        <v>339</v>
      </c>
      <c r="F30" s="843"/>
      <c r="G30" s="844"/>
      <c r="H30" s="181" t="s">
        <v>314</v>
      </c>
      <c r="I30" s="184"/>
      <c r="J30" s="184"/>
      <c r="K30" s="184"/>
      <c r="L30" s="184"/>
      <c r="M30" s="182"/>
      <c r="N30" s="182"/>
      <c r="O30" s="184"/>
      <c r="S30" s="225"/>
      <c r="T30" s="89"/>
      <c r="U30" s="445" t="s">
        <v>124</v>
      </c>
      <c r="V30" s="446"/>
      <c r="W30" s="446"/>
      <c r="X30" s="632"/>
      <c r="Y30" s="146">
        <f>1/10</f>
        <v>0.1</v>
      </c>
      <c r="Z30" s="165"/>
      <c r="AA30" s="165"/>
    </row>
    <row r="31" spans="1:21" ht="24" customHeight="1" thickBot="1">
      <c r="A31" s="857"/>
      <c r="B31" s="864" t="s">
        <v>404</v>
      </c>
      <c r="C31" s="865"/>
      <c r="D31" s="865"/>
      <c r="E31" s="842" t="s">
        <v>340</v>
      </c>
      <c r="F31" s="843"/>
      <c r="G31" s="844"/>
      <c r="H31" s="181" t="s">
        <v>313</v>
      </c>
      <c r="I31" s="104"/>
      <c r="J31" s="104"/>
      <c r="K31" s="104"/>
      <c r="L31" s="104"/>
      <c r="M31" s="184"/>
      <c r="N31" s="184"/>
      <c r="O31" s="182"/>
      <c r="S31" s="225"/>
      <c r="T31" s="82"/>
      <c r="U31"/>
    </row>
    <row r="32" spans="1:29" ht="24" customHeight="1">
      <c r="A32" s="857"/>
      <c r="B32" s="864" t="s">
        <v>465</v>
      </c>
      <c r="C32" s="865"/>
      <c r="D32" s="865"/>
      <c r="E32" s="842" t="s">
        <v>397</v>
      </c>
      <c r="F32" s="843"/>
      <c r="G32" s="844"/>
      <c r="H32" s="251" t="s">
        <v>312</v>
      </c>
      <c r="I32" s="104"/>
      <c r="J32" s="104"/>
      <c r="K32" s="100"/>
      <c r="L32" s="104"/>
      <c r="M32" s="184"/>
      <c r="N32" s="184"/>
      <c r="O32" s="184"/>
      <c r="S32" s="97"/>
      <c r="U32" s="1070" t="s">
        <v>85</v>
      </c>
      <c r="V32" s="1071"/>
      <c r="W32" s="1071"/>
      <c r="X32" s="1071"/>
      <c r="Y32" s="1072"/>
      <c r="Z32" s="420" t="s">
        <v>389</v>
      </c>
      <c r="AA32" s="419"/>
      <c r="AB32" s="11"/>
      <c r="AC32" s="83"/>
    </row>
    <row r="33" spans="1:27" ht="24" customHeight="1">
      <c r="A33" s="857"/>
      <c r="B33" s="864" t="s">
        <v>466</v>
      </c>
      <c r="C33" s="865"/>
      <c r="D33" s="865"/>
      <c r="E33" s="842" t="s">
        <v>398</v>
      </c>
      <c r="F33" s="843"/>
      <c r="G33" s="844"/>
      <c r="H33" s="99" t="s">
        <v>84</v>
      </c>
      <c r="I33" s="88"/>
      <c r="J33" s="100"/>
      <c r="K33" s="88"/>
      <c r="L33" s="88"/>
      <c r="M33" s="105"/>
      <c r="N33" s="105"/>
      <c r="O33" s="184"/>
      <c r="P33" s="11"/>
      <c r="S33" s="225"/>
      <c r="U33" s="1056" t="s">
        <v>383</v>
      </c>
      <c r="V33" s="1057"/>
      <c r="W33" s="1057"/>
      <c r="X33" s="1057"/>
      <c r="Y33" s="1058"/>
      <c r="Z33" s="160">
        <v>180</v>
      </c>
      <c r="AA33" s="421">
        <f>ROUNDUP($Z33*$Y$28*$Y$30,0)</f>
        <v>186</v>
      </c>
    </row>
    <row r="34" spans="1:27" ht="24" customHeight="1">
      <c r="A34" s="857"/>
      <c r="B34" s="864" t="s">
        <v>164</v>
      </c>
      <c r="C34" s="865"/>
      <c r="D34" s="865"/>
      <c r="E34" s="885">
        <v>25</v>
      </c>
      <c r="F34" s="886"/>
      <c r="G34" s="887"/>
      <c r="H34" s="99"/>
      <c r="I34" s="88"/>
      <c r="J34" s="100"/>
      <c r="K34" s="88"/>
      <c r="L34" s="88"/>
      <c r="M34" s="88"/>
      <c r="N34" s="88"/>
      <c r="O34" s="105"/>
      <c r="P34" s="11"/>
      <c r="R34" s="11"/>
      <c r="S34" s="225"/>
      <c r="T34" s="89"/>
      <c r="U34" s="1056" t="s">
        <v>384</v>
      </c>
      <c r="V34" s="1057"/>
      <c r="W34" s="1057"/>
      <c r="X34" s="1057"/>
      <c r="Y34" s="1058"/>
      <c r="Z34" s="160">
        <v>213</v>
      </c>
      <c r="AA34" s="421">
        <f>ROUNDUP($Z34*$Y$28*$Y$30,0)</f>
        <v>221</v>
      </c>
    </row>
    <row r="35" spans="1:27" ht="24" customHeight="1">
      <c r="A35" s="857"/>
      <c r="B35" s="895" t="s">
        <v>165</v>
      </c>
      <c r="C35" s="896"/>
      <c r="D35" s="896"/>
      <c r="E35" s="873">
        <v>248</v>
      </c>
      <c r="F35" s="874"/>
      <c r="G35" s="875"/>
      <c r="H35" s="103" t="s">
        <v>450</v>
      </c>
      <c r="J35" s="64"/>
      <c r="K35" s="100"/>
      <c r="M35" s="76"/>
      <c r="N35" s="76"/>
      <c r="O35" s="88"/>
      <c r="P35" s="105"/>
      <c r="Q35" s="105"/>
      <c r="R35" s="105"/>
      <c r="S35" s="225"/>
      <c r="U35" s="1056" t="s">
        <v>385</v>
      </c>
      <c r="V35" s="1057"/>
      <c r="W35" s="1057"/>
      <c r="X35" s="1057"/>
      <c r="Y35" s="1058"/>
      <c r="Z35" s="160">
        <v>450</v>
      </c>
      <c r="AA35" s="421">
        <f>ROUNDUP($Z35*$Y$28*$Y$30,0)</f>
        <v>465</v>
      </c>
    </row>
    <row r="36" spans="1:27" ht="24" customHeight="1" thickBot="1">
      <c r="A36" s="857"/>
      <c r="B36" s="891" t="s">
        <v>399</v>
      </c>
      <c r="C36" s="892"/>
      <c r="D36" s="892"/>
      <c r="E36" s="873">
        <v>42</v>
      </c>
      <c r="F36" s="874"/>
      <c r="G36" s="875"/>
      <c r="H36" s="58" t="s">
        <v>87</v>
      </c>
      <c r="I36" s="100"/>
      <c r="K36" s="100"/>
      <c r="L36" s="100"/>
      <c r="M36" s="76"/>
      <c r="N36" s="76"/>
      <c r="O36" s="76"/>
      <c r="P36" s="88"/>
      <c r="Q36" s="88"/>
      <c r="R36" s="88"/>
      <c r="S36" s="13"/>
      <c r="U36" s="1056" t="s">
        <v>386</v>
      </c>
      <c r="V36" s="1057"/>
      <c r="W36" s="1057"/>
      <c r="X36" s="1057"/>
      <c r="Y36" s="1058"/>
      <c r="Z36" s="160">
        <v>483</v>
      </c>
      <c r="AA36" s="421">
        <f>ROUNDUP($Z36*$Y$28*$Y$30,0)</f>
        <v>499</v>
      </c>
    </row>
    <row r="37" spans="1:27" ht="24" customHeight="1" thickTop="1">
      <c r="A37" s="856" t="s">
        <v>71</v>
      </c>
      <c r="B37" s="901" t="s">
        <v>451</v>
      </c>
      <c r="C37" s="902"/>
      <c r="D37" s="902"/>
      <c r="E37" s="867">
        <v>100</v>
      </c>
      <c r="F37" s="868"/>
      <c r="G37" s="869"/>
      <c r="H37" s="58"/>
      <c r="I37" s="99"/>
      <c r="J37" s="99"/>
      <c r="L37" s="100"/>
      <c r="M37" s="97"/>
      <c r="N37" s="97"/>
      <c r="O37" s="76"/>
      <c r="P37" s="76"/>
      <c r="Q37" s="76"/>
      <c r="R37" s="76"/>
      <c r="S37" s="118"/>
      <c r="U37" s="1056" t="s">
        <v>509</v>
      </c>
      <c r="V37" s="1057"/>
      <c r="W37" s="1057"/>
      <c r="X37" s="1057"/>
      <c r="Y37" s="1058"/>
      <c r="Z37" s="160">
        <v>200</v>
      </c>
      <c r="AA37" s="421">
        <f>ROUNDUP($Z37*$Y$28*$Y$30,0)</f>
        <v>207</v>
      </c>
    </row>
    <row r="38" spans="1:21" ht="24.75" customHeight="1">
      <c r="A38" s="857"/>
      <c r="B38" s="882" t="s">
        <v>33</v>
      </c>
      <c r="C38" s="883"/>
      <c r="D38" s="883"/>
      <c r="E38" s="873" t="s">
        <v>34</v>
      </c>
      <c r="F38" s="874"/>
      <c r="G38" s="875"/>
      <c r="H38" s="106"/>
      <c r="I38" s="100"/>
      <c r="J38" s="100"/>
      <c r="K38" s="99"/>
      <c r="L38" s="100"/>
      <c r="M38" s="76"/>
      <c r="N38" s="76"/>
      <c r="O38" s="97"/>
      <c r="P38" s="76"/>
      <c r="Q38" s="76"/>
      <c r="R38" s="76"/>
      <c r="S38" s="13"/>
      <c r="T38" s="82"/>
      <c r="U38" s="82"/>
    </row>
    <row r="39" spans="1:29" ht="24.75" customHeight="1">
      <c r="A39" s="857"/>
      <c r="B39" s="882" t="s">
        <v>51</v>
      </c>
      <c r="C39" s="883"/>
      <c r="D39" s="883"/>
      <c r="E39" s="873">
        <v>20</v>
      </c>
      <c r="F39" s="874"/>
      <c r="G39" s="875"/>
      <c r="H39" s="99"/>
      <c r="I39" s="101"/>
      <c r="J39" s="101"/>
      <c r="L39" s="99"/>
      <c r="M39" s="76"/>
      <c r="N39" s="76"/>
      <c r="O39" s="76"/>
      <c r="P39" s="97"/>
      <c r="Q39" s="97"/>
      <c r="R39" s="97"/>
      <c r="S39" s="97"/>
      <c r="T39" s="97"/>
      <c r="AB39" s="83"/>
      <c r="AC39" s="83"/>
    </row>
    <row r="40" spans="1:27" ht="24.75" customHeight="1">
      <c r="A40" s="857"/>
      <c r="B40" s="882" t="s">
        <v>309</v>
      </c>
      <c r="C40" s="883"/>
      <c r="D40" s="883"/>
      <c r="E40" s="873">
        <v>30</v>
      </c>
      <c r="F40" s="874"/>
      <c r="G40" s="875"/>
      <c r="H40" s="99"/>
      <c r="J40" s="101"/>
      <c r="K40" s="99"/>
      <c r="L40" s="99"/>
      <c r="M40" s="76"/>
      <c r="N40" s="76"/>
      <c r="O40" s="76"/>
      <c r="P40" s="76"/>
      <c r="Q40" s="76"/>
      <c r="R40" s="76"/>
      <c r="S40" s="76"/>
      <c r="T40" s="76"/>
      <c r="X40" s="83"/>
      <c r="Y40" s="83"/>
      <c r="Z40" s="83"/>
      <c r="AA40" s="83"/>
    </row>
    <row r="41" spans="1:27" ht="24.75" customHeight="1">
      <c r="A41" s="857"/>
      <c r="B41" s="882" t="s">
        <v>52</v>
      </c>
      <c r="C41" s="883"/>
      <c r="D41" s="883"/>
      <c r="E41" s="873">
        <v>70</v>
      </c>
      <c r="F41" s="874"/>
      <c r="G41" s="875"/>
      <c r="H41" s="99"/>
      <c r="J41" s="102"/>
      <c r="K41" s="99"/>
      <c r="L41" s="102"/>
      <c r="O41" s="76"/>
      <c r="P41" s="76"/>
      <c r="Q41" s="76"/>
      <c r="R41" s="76"/>
      <c r="S41" s="76"/>
      <c r="T41" s="76"/>
      <c r="X41" s="82"/>
      <c r="Y41" s="82"/>
      <c r="Z41" s="82"/>
      <c r="AA41" s="82"/>
    </row>
    <row r="42" spans="1:30" ht="24.75" customHeight="1">
      <c r="A42" s="857"/>
      <c r="B42" s="882" t="s">
        <v>321</v>
      </c>
      <c r="C42" s="883"/>
      <c r="D42" s="883"/>
      <c r="E42" s="873">
        <v>100</v>
      </c>
      <c r="F42" s="874"/>
      <c r="G42" s="875"/>
      <c r="H42" s="103"/>
      <c r="I42" s="129"/>
      <c r="J42" s="102"/>
      <c r="K42" s="99"/>
      <c r="L42" s="102"/>
      <c r="P42" s="76"/>
      <c r="Q42" s="76"/>
      <c r="R42" s="76"/>
      <c r="S42" s="76"/>
      <c r="T42" s="76"/>
      <c r="X42" s="82"/>
      <c r="Y42" s="82"/>
      <c r="Z42" s="82"/>
      <c r="AA42" s="82"/>
      <c r="AD42" s="83"/>
    </row>
    <row r="43" spans="1:12" ht="24.75" customHeight="1">
      <c r="A43" s="857"/>
      <c r="B43" s="882" t="s">
        <v>53</v>
      </c>
      <c r="C43" s="883"/>
      <c r="D43" s="883"/>
      <c r="E43" s="873">
        <v>1500</v>
      </c>
      <c r="F43" s="874"/>
      <c r="G43" s="875"/>
      <c r="H43" s="58"/>
      <c r="J43" s="102"/>
      <c r="K43" s="99"/>
      <c r="L43" s="102"/>
    </row>
    <row r="44" spans="1:20" ht="24.75" customHeight="1">
      <c r="A44" s="857"/>
      <c r="B44" s="882" t="s">
        <v>36</v>
      </c>
      <c r="C44" s="883"/>
      <c r="D44" s="883"/>
      <c r="E44" s="873">
        <v>500</v>
      </c>
      <c r="F44" s="874"/>
      <c r="G44" s="875"/>
      <c r="H44" s="99"/>
      <c r="J44" s="102"/>
      <c r="K44" s="99"/>
      <c r="L44" s="102"/>
      <c r="R44" s="11"/>
      <c r="S44" s="11"/>
      <c r="T44" s="11"/>
    </row>
    <row r="45" spans="1:12" ht="24.75" customHeight="1">
      <c r="A45" s="857"/>
      <c r="B45" s="882" t="s">
        <v>54</v>
      </c>
      <c r="C45" s="883"/>
      <c r="D45" s="883"/>
      <c r="E45" s="888" t="s">
        <v>373</v>
      </c>
      <c r="F45" s="796"/>
      <c r="G45" s="797"/>
      <c r="H45" s="99"/>
      <c r="J45" s="102"/>
      <c r="K45" s="99"/>
      <c r="L45" s="102"/>
    </row>
    <row r="46" spans="1:12" ht="24.75" customHeight="1">
      <c r="A46" s="857"/>
      <c r="B46" s="905" t="s">
        <v>64</v>
      </c>
      <c r="C46" s="796"/>
      <c r="D46" s="796"/>
      <c r="E46" s="888" t="s">
        <v>374</v>
      </c>
      <c r="F46" s="796"/>
      <c r="G46" s="797"/>
      <c r="H46" s="104"/>
      <c r="I46" s="94"/>
      <c r="J46" s="102"/>
      <c r="K46" s="99"/>
      <c r="L46" s="102"/>
    </row>
    <row r="47" spans="1:12" ht="24.75" customHeight="1">
      <c r="A47" s="857"/>
      <c r="B47" s="905" t="s">
        <v>65</v>
      </c>
      <c r="C47" s="796"/>
      <c r="D47" s="796"/>
      <c r="E47" s="888" t="s">
        <v>375</v>
      </c>
      <c r="F47" s="796"/>
      <c r="G47" s="797"/>
      <c r="H47" s="52"/>
      <c r="I47" s="99"/>
      <c r="K47" s="102"/>
      <c r="L47" s="99"/>
    </row>
    <row r="48" spans="1:17" ht="24.75" customHeight="1">
      <c r="A48" s="857"/>
      <c r="B48" s="882" t="s">
        <v>55</v>
      </c>
      <c r="C48" s="883"/>
      <c r="D48" s="883"/>
      <c r="E48" s="873">
        <v>1000</v>
      </c>
      <c r="F48" s="874"/>
      <c r="G48" s="875"/>
      <c r="H48" s="52"/>
      <c r="I48" s="99"/>
      <c r="J48" s="57"/>
      <c r="Q48" s="11"/>
    </row>
    <row r="49" spans="1:20" ht="24.75" customHeight="1" thickBot="1">
      <c r="A49" s="866"/>
      <c r="B49" s="903" t="s">
        <v>56</v>
      </c>
      <c r="C49" s="904"/>
      <c r="D49" s="904"/>
      <c r="E49" s="898">
        <v>800</v>
      </c>
      <c r="F49" s="899"/>
      <c r="G49" s="900"/>
      <c r="I49" s="42"/>
      <c r="J49" s="57"/>
      <c r="R49" s="11"/>
      <c r="S49" s="11"/>
      <c r="T49" s="11"/>
    </row>
    <row r="50" spans="2:20" ht="24.75" customHeight="1">
      <c r="B50" s="128"/>
      <c r="C50" s="128"/>
      <c r="D50" s="128"/>
      <c r="E50" s="128"/>
      <c r="F50" s="128"/>
      <c r="I50" s="42"/>
      <c r="R50" s="89"/>
      <c r="S50" s="89"/>
      <c r="T50" s="89"/>
    </row>
    <row r="51" spans="3:20" ht="24.75" customHeight="1">
      <c r="C51" s="42" t="s">
        <v>166</v>
      </c>
      <c r="D51" s="42"/>
      <c r="E51" s="42"/>
      <c r="F51" s="128"/>
      <c r="K51" s="42"/>
      <c r="L51" s="57"/>
      <c r="R51" s="89"/>
      <c r="S51" s="89"/>
      <c r="T51" s="89"/>
    </row>
    <row r="52" spans="3:12" ht="20.25" customHeight="1">
      <c r="C52" s="42" t="s">
        <v>142</v>
      </c>
      <c r="D52" s="42"/>
      <c r="E52" s="42"/>
      <c r="J52" s="240"/>
      <c r="K52" s="61"/>
      <c r="L52" s="57"/>
    </row>
    <row r="53" spans="3:11" ht="20.25" customHeight="1">
      <c r="C53" s="58"/>
      <c r="D53" s="58"/>
      <c r="E53" s="58"/>
      <c r="G53" s="60"/>
      <c r="H53" s="240"/>
      <c r="I53" s="240"/>
      <c r="K53" s="25"/>
    </row>
    <row r="54" spans="3:13" ht="20.25" customHeight="1">
      <c r="C54" s="409"/>
      <c r="D54" s="59"/>
      <c r="E54" s="59"/>
      <c r="F54" s="240"/>
      <c r="H54" s="61" t="s">
        <v>23</v>
      </c>
      <c r="I54" s="61"/>
      <c r="J54" s="61" t="s">
        <v>24</v>
      </c>
      <c r="K54" s="61"/>
      <c r="L54" s="61"/>
      <c r="M54" s="61"/>
    </row>
    <row r="55" spans="6:18" ht="19.5" customHeight="1">
      <c r="F55" s="60"/>
      <c r="M55" s="17"/>
      <c r="Q55" s="5"/>
      <c r="R55" s="5"/>
    </row>
    <row r="56" ht="14.25">
      <c r="M56" s="17"/>
    </row>
    <row r="59" ht="14.25">
      <c r="M59" s="5"/>
    </row>
    <row r="60" ht="21.75" customHeight="1"/>
    <row r="61" ht="25.5" customHeight="1"/>
    <row r="62" ht="25.5" customHeight="1"/>
    <row r="63" ht="25.5" customHeight="1"/>
    <row r="64" ht="25.5" customHeight="1"/>
    <row r="65" ht="25.5" customHeight="1"/>
    <row r="66" ht="25.5" customHeight="1"/>
    <row r="67" ht="25.5" customHeight="1"/>
    <row r="68" ht="25.5" customHeight="1"/>
    <row r="69" ht="25.5" customHeight="1"/>
  </sheetData>
  <sheetProtection/>
  <mergeCells count="96">
    <mergeCell ref="W10:W14"/>
    <mergeCell ref="U8:U9"/>
    <mergeCell ref="U36:Y36"/>
    <mergeCell ref="U35:Y35"/>
    <mergeCell ref="U34:Y34"/>
    <mergeCell ref="U33:Y33"/>
    <mergeCell ref="U32:Y32"/>
    <mergeCell ref="U30:X30"/>
    <mergeCell ref="U28:X28"/>
    <mergeCell ref="U26:X26"/>
    <mergeCell ref="U37:Y37"/>
    <mergeCell ref="Q10:Q14"/>
    <mergeCell ref="V8:V9"/>
    <mergeCell ref="S8:T8"/>
    <mergeCell ref="S10:T14"/>
    <mergeCell ref="S9:T9"/>
    <mergeCell ref="U24:X24"/>
    <mergeCell ref="U22:X22"/>
    <mergeCell ref="B48:D48"/>
    <mergeCell ref="E48:G48"/>
    <mergeCell ref="B49:D49"/>
    <mergeCell ref="E49:G49"/>
    <mergeCell ref="B46:D46"/>
    <mergeCell ref="E46:G46"/>
    <mergeCell ref="B47:D47"/>
    <mergeCell ref="E47:G47"/>
    <mergeCell ref="E44:G44"/>
    <mergeCell ref="B45:D45"/>
    <mergeCell ref="E45:G45"/>
    <mergeCell ref="B42:D42"/>
    <mergeCell ref="E42:G42"/>
    <mergeCell ref="B43:D43"/>
    <mergeCell ref="E43:G43"/>
    <mergeCell ref="B41:D41"/>
    <mergeCell ref="E41:G41"/>
    <mergeCell ref="A37:A49"/>
    <mergeCell ref="B37:D37"/>
    <mergeCell ref="E37:G37"/>
    <mergeCell ref="B38:D38"/>
    <mergeCell ref="E38:G38"/>
    <mergeCell ref="B39:D39"/>
    <mergeCell ref="E39:G39"/>
    <mergeCell ref="B44:D44"/>
    <mergeCell ref="B40:D40"/>
    <mergeCell ref="B34:D34"/>
    <mergeCell ref="E34:G34"/>
    <mergeCell ref="B35:D35"/>
    <mergeCell ref="E35:G35"/>
    <mergeCell ref="B36:D36"/>
    <mergeCell ref="E36:G36"/>
    <mergeCell ref="E40:G40"/>
    <mergeCell ref="B31:D31"/>
    <mergeCell ref="E31:G31"/>
    <mergeCell ref="B32:D32"/>
    <mergeCell ref="E32:G32"/>
    <mergeCell ref="B33:D33"/>
    <mergeCell ref="E33:G33"/>
    <mergeCell ref="B28:D28"/>
    <mergeCell ref="E28:G28"/>
    <mergeCell ref="B29:D29"/>
    <mergeCell ref="E29:G29"/>
    <mergeCell ref="B30:D30"/>
    <mergeCell ref="E30:G30"/>
    <mergeCell ref="B26:D26"/>
    <mergeCell ref="E26:G26"/>
    <mergeCell ref="B27:D27"/>
    <mergeCell ref="E27:G27"/>
    <mergeCell ref="B22:E22"/>
    <mergeCell ref="A24:A36"/>
    <mergeCell ref="B24:D24"/>
    <mergeCell ref="E24:G24"/>
    <mergeCell ref="B25:D25"/>
    <mergeCell ref="E25:G25"/>
    <mergeCell ref="F10:F14"/>
    <mergeCell ref="G10:G14"/>
    <mergeCell ref="R10:R14"/>
    <mergeCell ref="V10:V14"/>
    <mergeCell ref="U10:U14"/>
    <mergeCell ref="R8:R9"/>
    <mergeCell ref="W7:AB7"/>
    <mergeCell ref="B8:B9"/>
    <mergeCell ref="C8:C9"/>
    <mergeCell ref="D8:D9"/>
    <mergeCell ref="E8:E9"/>
    <mergeCell ref="F8:F9"/>
    <mergeCell ref="G8:G9"/>
    <mergeCell ref="P8:P9"/>
    <mergeCell ref="Q8:Q9"/>
    <mergeCell ref="B4:G4"/>
    <mergeCell ref="H4:J4"/>
    <mergeCell ref="B6:E6"/>
    <mergeCell ref="C7:E7"/>
    <mergeCell ref="F7:G7"/>
    <mergeCell ref="H7:H9"/>
    <mergeCell ref="I7:I9"/>
    <mergeCell ref="J7:J9"/>
  </mergeCells>
  <printOptions horizontalCentered="1"/>
  <pageMargins left="0.11811023622047245" right="0" top="0.1968503937007874" bottom="0.1968503937007874" header="0" footer="0"/>
  <pageSetup horizontalDpi="600" verticalDpi="600" orientation="portrait" paperSize="9" scale="46" r:id="rId1"/>
  <colBreaks count="1" manualBreakCount="1">
    <brk id="12" max="53" man="1"/>
  </colBreaks>
</worksheet>
</file>

<file path=xl/worksheets/sheet2.xml><?xml version="1.0" encoding="utf-8"?>
<worksheet xmlns="http://schemas.openxmlformats.org/spreadsheetml/2006/main" xmlns:r="http://schemas.openxmlformats.org/officeDocument/2006/relationships">
  <sheetPr>
    <tabColor indexed="24"/>
  </sheetPr>
  <dimension ref="A1:AA104"/>
  <sheetViews>
    <sheetView view="pageBreakPreview" zoomScale="96" zoomScaleSheetLayoutView="96" zoomScalePageLayoutView="0" workbookViewId="0" topLeftCell="M1">
      <selection activeCell="N11" sqref="N11"/>
    </sheetView>
  </sheetViews>
  <sheetFormatPr defaultColWidth="9.00390625" defaultRowHeight="13.5"/>
  <cols>
    <col min="1" max="1" width="5.25390625" style="13" customWidth="1"/>
    <col min="2" max="2" width="6.875" style="0" customWidth="1"/>
    <col min="3" max="4" width="4.125" style="0" customWidth="1"/>
    <col min="5" max="5" width="5.125" style="0" customWidth="1"/>
    <col min="6" max="6" width="12.50390625" style="0" customWidth="1"/>
    <col min="7" max="10" width="12.625" style="0" customWidth="1"/>
    <col min="11" max="11" width="9.375" style="0" customWidth="1"/>
    <col min="14" max="14" width="16.75390625" style="0" customWidth="1"/>
    <col min="15" max="15" width="5.75390625" style="0" customWidth="1"/>
    <col min="16" max="17" width="6.00390625" style="0" customWidth="1"/>
    <col min="18" max="18" width="7.625" style="0" customWidth="1"/>
    <col min="19" max="19" width="7.50390625" style="0" customWidth="1"/>
    <col min="20" max="21" width="7.375" style="0" customWidth="1"/>
    <col min="25" max="27" width="12.875" style="0" customWidth="1"/>
  </cols>
  <sheetData>
    <row r="1" spans="2:11" ht="18.75" customHeight="1">
      <c r="B1" s="1"/>
      <c r="C1" s="1"/>
      <c r="D1" s="1"/>
      <c r="E1" s="607" t="s">
        <v>0</v>
      </c>
      <c r="F1" s="607"/>
      <c r="G1" s="15" t="s">
        <v>1</v>
      </c>
      <c r="H1" s="15"/>
      <c r="I1" s="15"/>
      <c r="J1" s="15"/>
      <c r="K1" s="16"/>
    </row>
    <row r="2" spans="11:13" ht="18" customHeight="1" thickBot="1">
      <c r="K2" s="74"/>
      <c r="L2" s="253" t="s">
        <v>473</v>
      </c>
      <c r="M2" s="5"/>
    </row>
    <row r="3" spans="2:12" ht="18" customHeight="1" thickBot="1">
      <c r="B3" s="602" t="s">
        <v>20</v>
      </c>
      <c r="C3" s="603"/>
      <c r="D3" s="603"/>
      <c r="E3" s="603"/>
      <c r="F3" s="604"/>
      <c r="G3" s="605" t="s">
        <v>3</v>
      </c>
      <c r="H3" s="606"/>
      <c r="I3" s="606"/>
      <c r="J3" s="606"/>
      <c r="K3" s="607"/>
      <c r="L3" s="17"/>
    </row>
    <row r="4" spans="6:10" ht="8.25" customHeight="1" thickBot="1">
      <c r="F4" s="8"/>
      <c r="G4" s="8"/>
      <c r="H4" s="8"/>
      <c r="I4" s="8"/>
      <c r="J4" s="8"/>
    </row>
    <row r="5" spans="6:13" ht="15" customHeight="1" thickBot="1">
      <c r="F5" s="8"/>
      <c r="G5" s="445" t="s">
        <v>72</v>
      </c>
      <c r="H5" s="446"/>
      <c r="I5" s="446"/>
      <c r="J5" s="447"/>
      <c r="K5" s="608" t="s">
        <v>70</v>
      </c>
      <c r="L5" s="609"/>
      <c r="M5" s="353" t="s">
        <v>71</v>
      </c>
    </row>
    <row r="6" spans="2:14" ht="27" customHeight="1" thickBot="1">
      <c r="B6" s="506" t="s">
        <v>4</v>
      </c>
      <c r="C6" s="507"/>
      <c r="D6" s="610"/>
      <c r="E6" s="354" t="s">
        <v>5</v>
      </c>
      <c r="F6" s="382" t="s">
        <v>6</v>
      </c>
      <c r="G6" s="611" t="s">
        <v>143</v>
      </c>
      <c r="H6" s="612"/>
      <c r="I6" s="612"/>
      <c r="J6" s="613"/>
      <c r="K6" s="364" t="s">
        <v>21</v>
      </c>
      <c r="L6" s="357" t="s">
        <v>10</v>
      </c>
      <c r="M6" s="383" t="s">
        <v>11</v>
      </c>
      <c r="N6" s="384" t="s">
        <v>12</v>
      </c>
    </row>
    <row r="7" spans="1:27" ht="27" customHeight="1">
      <c r="A7" s="485" t="s">
        <v>468</v>
      </c>
      <c r="B7" s="545" t="s">
        <v>457</v>
      </c>
      <c r="C7" s="548" t="s">
        <v>471</v>
      </c>
      <c r="D7" s="549"/>
      <c r="E7" s="424" t="s">
        <v>15</v>
      </c>
      <c r="F7" s="18">
        <v>1</v>
      </c>
      <c r="G7" s="585">
        <f>ROUNDUP(($V$10+$Y$10+$Z$10+$AA$10)*$Y$28*$Y$34,0)</f>
        <v>1010</v>
      </c>
      <c r="H7" s="586"/>
      <c r="I7" s="586"/>
      <c r="J7" s="587"/>
      <c r="K7" s="571">
        <v>1300</v>
      </c>
      <c r="L7" s="581">
        <v>370</v>
      </c>
      <c r="M7" s="568">
        <v>100</v>
      </c>
      <c r="N7" s="23">
        <f>SUM(G7,$K$7:$M$11)</f>
        <v>2780</v>
      </c>
      <c r="P7" s="457" t="s">
        <v>5</v>
      </c>
      <c r="Q7" s="460" t="s">
        <v>6</v>
      </c>
      <c r="R7" s="625" t="s">
        <v>119</v>
      </c>
      <c r="S7" s="627" t="s">
        <v>130</v>
      </c>
      <c r="T7" s="625" t="s">
        <v>371</v>
      </c>
      <c r="U7" s="617" t="s">
        <v>121</v>
      </c>
      <c r="V7" s="463" t="s">
        <v>7</v>
      </c>
      <c r="W7" s="464"/>
      <c r="X7" s="464"/>
      <c r="Y7" s="460" t="s">
        <v>115</v>
      </c>
      <c r="Z7" s="460" t="s">
        <v>334</v>
      </c>
      <c r="AA7" s="460" t="s">
        <v>478</v>
      </c>
    </row>
    <row r="8" spans="1:27" ht="27" customHeight="1">
      <c r="A8" s="486"/>
      <c r="B8" s="546"/>
      <c r="C8" s="550"/>
      <c r="D8" s="551"/>
      <c r="E8" s="425"/>
      <c r="F8" s="18">
        <v>2</v>
      </c>
      <c r="G8" s="575">
        <f>ROUNDUP(($V$11+$Y$11+$Z$11+$AA$11)*$Y$28*$Y$34,0)</f>
        <v>1094</v>
      </c>
      <c r="H8" s="576"/>
      <c r="I8" s="576"/>
      <c r="J8" s="577"/>
      <c r="K8" s="571"/>
      <c r="L8" s="581"/>
      <c r="M8" s="568"/>
      <c r="N8" s="19">
        <f>SUM(G8,$K$7:$M$11)</f>
        <v>2864</v>
      </c>
      <c r="P8" s="458"/>
      <c r="Q8" s="461"/>
      <c r="R8" s="626"/>
      <c r="S8" s="628"/>
      <c r="T8" s="626"/>
      <c r="U8" s="618"/>
      <c r="V8" s="442" t="s">
        <v>8</v>
      </c>
      <c r="W8" s="443"/>
      <c r="X8" s="443"/>
      <c r="Y8" s="461"/>
      <c r="Z8" s="461"/>
      <c r="AA8" s="461"/>
    </row>
    <row r="9" spans="1:27" ht="27" customHeight="1" thickBot="1">
      <c r="A9" s="486"/>
      <c r="B9" s="546"/>
      <c r="C9" s="550"/>
      <c r="D9" s="551"/>
      <c r="E9" s="425"/>
      <c r="F9" s="18">
        <v>3</v>
      </c>
      <c r="G9" s="575">
        <f>ROUNDUP(($V$12+$Y$12+$Z$12+$AA$12)*$Y$28*$Y$34,0)</f>
        <v>1162</v>
      </c>
      <c r="H9" s="576"/>
      <c r="I9" s="576"/>
      <c r="J9" s="577"/>
      <c r="K9" s="571"/>
      <c r="L9" s="581"/>
      <c r="M9" s="568"/>
      <c r="N9" s="19">
        <f>SUM(G9,$K$7:$M$11)</f>
        <v>2932</v>
      </c>
      <c r="P9" s="459"/>
      <c r="Q9" s="462"/>
      <c r="R9" s="626"/>
      <c r="S9" s="628"/>
      <c r="T9" s="626"/>
      <c r="U9" s="618"/>
      <c r="V9" s="641" t="s">
        <v>95</v>
      </c>
      <c r="W9" s="642"/>
      <c r="X9" s="642"/>
      <c r="Y9" s="462"/>
      <c r="Z9" s="462"/>
      <c r="AA9" s="462"/>
    </row>
    <row r="10" spans="1:27" ht="27" customHeight="1">
      <c r="A10" s="486"/>
      <c r="B10" s="546"/>
      <c r="C10" s="550"/>
      <c r="D10" s="551"/>
      <c r="E10" s="425"/>
      <c r="F10" s="18">
        <v>4</v>
      </c>
      <c r="G10" s="588">
        <f>ROUNDUP(($V$13+$Y$13+$Z$13+$AA$13)*$Y$28*$Y$34,0)</f>
        <v>1226</v>
      </c>
      <c r="H10" s="589"/>
      <c r="I10" s="589"/>
      <c r="J10" s="590"/>
      <c r="K10" s="571"/>
      <c r="L10" s="581"/>
      <c r="M10" s="568"/>
      <c r="N10" s="19">
        <f>SUM(G10,$K$7:$M$11)</f>
        <v>2996</v>
      </c>
      <c r="P10" s="424" t="s">
        <v>15</v>
      </c>
      <c r="Q10" s="116">
        <v>1</v>
      </c>
      <c r="R10" s="285">
        <v>875</v>
      </c>
      <c r="S10" s="629"/>
      <c r="T10" s="614">
        <v>22</v>
      </c>
      <c r="U10" s="614">
        <v>24</v>
      </c>
      <c r="V10" s="427">
        <f>+R$10+$S$10+$T$10+$U$10</f>
        <v>921</v>
      </c>
      <c r="W10" s="428"/>
      <c r="X10" s="428"/>
      <c r="Y10" s="257">
        <f aca="true" t="shared" si="0" ref="Y10:Y19">ROUND(V10*$Y$22,0)</f>
        <v>36</v>
      </c>
      <c r="Z10" s="257">
        <f aca="true" t="shared" si="1" ref="Z10:Z19">ROUND(V10*$Y$24,0)</f>
        <v>19</v>
      </c>
      <c r="AA10" s="257">
        <f aca="true" t="shared" si="2" ref="AA10:AA19">ROUND(V10*$Y$26,0)</f>
        <v>7</v>
      </c>
    </row>
    <row r="11" spans="1:27" ht="27" customHeight="1">
      <c r="A11" s="486"/>
      <c r="B11" s="546"/>
      <c r="C11" s="550"/>
      <c r="D11" s="551"/>
      <c r="E11" s="426"/>
      <c r="F11" s="18">
        <v>5</v>
      </c>
      <c r="G11" s="575">
        <f>ROUNDUP(($V$14+$Y$14+$Z$14+$AA$14)*$Y$28*$Y$34,0)</f>
        <v>1289</v>
      </c>
      <c r="H11" s="576"/>
      <c r="I11" s="576"/>
      <c r="J11" s="577"/>
      <c r="K11" s="591"/>
      <c r="L11" s="582"/>
      <c r="M11" s="569"/>
      <c r="N11" s="19">
        <f>SUM(G11,$K$7:$M$11)</f>
        <v>3059</v>
      </c>
      <c r="P11" s="425"/>
      <c r="Q11" s="9">
        <v>2</v>
      </c>
      <c r="R11" s="286">
        <v>951</v>
      </c>
      <c r="S11" s="630"/>
      <c r="T11" s="615"/>
      <c r="U11" s="615"/>
      <c r="V11" s="436">
        <f>+$R11+$S$10+$T$10+$U$10</f>
        <v>997</v>
      </c>
      <c r="W11" s="437"/>
      <c r="X11" s="438"/>
      <c r="Y11" s="123">
        <f t="shared" si="0"/>
        <v>39</v>
      </c>
      <c r="Z11" s="123">
        <f t="shared" si="1"/>
        <v>21</v>
      </c>
      <c r="AA11" s="123">
        <f t="shared" si="2"/>
        <v>8</v>
      </c>
    </row>
    <row r="12" spans="1:27" ht="27" customHeight="1">
      <c r="A12" s="486"/>
      <c r="B12" s="546"/>
      <c r="C12" s="550"/>
      <c r="D12" s="551"/>
      <c r="E12" s="433" t="s">
        <v>16</v>
      </c>
      <c r="F12" s="18">
        <v>1</v>
      </c>
      <c r="G12" s="575">
        <f>ROUNDUP(($V$15+$Y$15+$Z$15+$AA$15)*$Y$28*$Y$34,0)</f>
        <v>923</v>
      </c>
      <c r="H12" s="576"/>
      <c r="I12" s="576"/>
      <c r="J12" s="577"/>
      <c r="K12" s="570">
        <v>1300</v>
      </c>
      <c r="L12" s="570">
        <v>1310</v>
      </c>
      <c r="M12" s="595">
        <v>100</v>
      </c>
      <c r="N12" s="19">
        <f>SUM(G12,$K$12:$M$16)</f>
        <v>3633</v>
      </c>
      <c r="P12" s="425"/>
      <c r="Q12" s="9">
        <v>3</v>
      </c>
      <c r="R12" s="286">
        <v>1014</v>
      </c>
      <c r="S12" s="630"/>
      <c r="T12" s="615"/>
      <c r="U12" s="615"/>
      <c r="V12" s="436">
        <f aca="true" t="shared" si="3" ref="V12:V19">+R12+$S$10+$T$10+$U$10</f>
        <v>1060</v>
      </c>
      <c r="W12" s="437"/>
      <c r="X12" s="438"/>
      <c r="Y12" s="123">
        <f t="shared" si="0"/>
        <v>41</v>
      </c>
      <c r="Z12" s="123">
        <f t="shared" si="1"/>
        <v>22</v>
      </c>
      <c r="AA12" s="123">
        <f t="shared" si="2"/>
        <v>8</v>
      </c>
    </row>
    <row r="13" spans="1:27" ht="27" customHeight="1">
      <c r="A13" s="486"/>
      <c r="B13" s="546"/>
      <c r="C13" s="550"/>
      <c r="D13" s="551"/>
      <c r="E13" s="434"/>
      <c r="F13" s="18">
        <v>2</v>
      </c>
      <c r="G13" s="575">
        <f>ROUNDUP(($V$16+$Y$16+$Z$16+$AA$16)*$Y$28*$Y$34,0)</f>
        <v>1002</v>
      </c>
      <c r="H13" s="576"/>
      <c r="I13" s="576"/>
      <c r="J13" s="577"/>
      <c r="K13" s="571"/>
      <c r="L13" s="571"/>
      <c r="M13" s="593"/>
      <c r="N13" s="19">
        <f>SUM(G13,$K$12:$M$16)</f>
        <v>3712</v>
      </c>
      <c r="P13" s="425"/>
      <c r="Q13" s="9">
        <v>4</v>
      </c>
      <c r="R13" s="286">
        <v>1071</v>
      </c>
      <c r="S13" s="630"/>
      <c r="T13" s="615"/>
      <c r="U13" s="615"/>
      <c r="V13" s="436">
        <f t="shared" si="3"/>
        <v>1117</v>
      </c>
      <c r="W13" s="437"/>
      <c r="X13" s="438"/>
      <c r="Y13" s="123">
        <f t="shared" si="0"/>
        <v>44</v>
      </c>
      <c r="Z13" s="123">
        <f t="shared" si="1"/>
        <v>23</v>
      </c>
      <c r="AA13" s="123">
        <f t="shared" si="2"/>
        <v>9</v>
      </c>
    </row>
    <row r="14" spans="1:27" ht="27" customHeight="1" thickBot="1">
      <c r="A14" s="486"/>
      <c r="B14" s="546"/>
      <c r="C14" s="550"/>
      <c r="D14" s="551"/>
      <c r="E14" s="434"/>
      <c r="F14" s="18">
        <v>3</v>
      </c>
      <c r="G14" s="575">
        <f>ROUNDUP(($V$17+$Y$17+$Z$17+$AA$17)*$Y$28*$Y$34,0)</f>
        <v>1071</v>
      </c>
      <c r="H14" s="576"/>
      <c r="I14" s="576"/>
      <c r="J14" s="577"/>
      <c r="K14" s="571"/>
      <c r="L14" s="571"/>
      <c r="M14" s="593"/>
      <c r="N14" s="19">
        <f>SUM(G14,$K$12:$M$16)</f>
        <v>3781</v>
      </c>
      <c r="P14" s="426"/>
      <c r="Q14" s="9">
        <v>5</v>
      </c>
      <c r="R14" s="287">
        <v>1129</v>
      </c>
      <c r="S14" s="630"/>
      <c r="T14" s="615"/>
      <c r="U14" s="615"/>
      <c r="V14" s="619">
        <f t="shared" si="3"/>
        <v>1175</v>
      </c>
      <c r="W14" s="620"/>
      <c r="X14" s="621"/>
      <c r="Y14" s="122">
        <f t="shared" si="0"/>
        <v>46</v>
      </c>
      <c r="Z14" s="122">
        <f t="shared" si="1"/>
        <v>25</v>
      </c>
      <c r="AA14" s="122">
        <f t="shared" si="2"/>
        <v>9</v>
      </c>
    </row>
    <row r="15" spans="1:27" ht="27" customHeight="1">
      <c r="A15" s="486"/>
      <c r="B15" s="546"/>
      <c r="C15" s="550"/>
      <c r="D15" s="551"/>
      <c r="E15" s="434"/>
      <c r="F15" s="18">
        <v>4</v>
      </c>
      <c r="G15" s="575">
        <f>ROUNDUP(($V$18+$Y$18+$Z$18+$AA$18)*$Y$28*$Y$34,0)</f>
        <v>1134</v>
      </c>
      <c r="H15" s="576"/>
      <c r="I15" s="576"/>
      <c r="J15" s="577"/>
      <c r="K15" s="571"/>
      <c r="L15" s="571"/>
      <c r="M15" s="593"/>
      <c r="N15" s="19">
        <f>SUM(G15,$K$12:$M$16)</f>
        <v>3844</v>
      </c>
      <c r="P15" s="433" t="s">
        <v>16</v>
      </c>
      <c r="Q15" s="9">
        <v>1</v>
      </c>
      <c r="R15" s="288">
        <v>794</v>
      </c>
      <c r="S15" s="630"/>
      <c r="T15" s="615"/>
      <c r="U15" s="615"/>
      <c r="V15" s="622">
        <f t="shared" si="3"/>
        <v>840</v>
      </c>
      <c r="W15" s="623"/>
      <c r="X15" s="624"/>
      <c r="Y15" s="119">
        <f t="shared" si="0"/>
        <v>33</v>
      </c>
      <c r="Z15" s="119">
        <f t="shared" si="1"/>
        <v>18</v>
      </c>
      <c r="AA15" s="119">
        <f t="shared" si="2"/>
        <v>7</v>
      </c>
    </row>
    <row r="16" spans="1:27" ht="27" customHeight="1" thickBot="1">
      <c r="A16" s="486"/>
      <c r="B16" s="546"/>
      <c r="C16" s="552"/>
      <c r="D16" s="553"/>
      <c r="E16" s="435"/>
      <c r="F16" s="21">
        <v>5</v>
      </c>
      <c r="G16" s="575">
        <f>ROUNDUP(($V$19+$Y$19+$Z$19+$AA$19)*$Y$28*$Y$34,0)</f>
        <v>1197</v>
      </c>
      <c r="H16" s="576"/>
      <c r="I16" s="576"/>
      <c r="J16" s="577"/>
      <c r="K16" s="572"/>
      <c r="L16" s="572"/>
      <c r="M16" s="596"/>
      <c r="N16" s="19">
        <f>SUM(G16,$K$12:$M$16)</f>
        <v>3907</v>
      </c>
      <c r="P16" s="434"/>
      <c r="Q16" s="9">
        <v>2</v>
      </c>
      <c r="R16" s="286">
        <v>867</v>
      </c>
      <c r="S16" s="630"/>
      <c r="T16" s="615"/>
      <c r="U16" s="615"/>
      <c r="V16" s="436">
        <f t="shared" si="3"/>
        <v>913</v>
      </c>
      <c r="W16" s="437"/>
      <c r="X16" s="438"/>
      <c r="Y16" s="123">
        <f t="shared" si="0"/>
        <v>36</v>
      </c>
      <c r="Z16" s="123">
        <f t="shared" si="1"/>
        <v>19</v>
      </c>
      <c r="AA16" s="123">
        <f t="shared" si="2"/>
        <v>7</v>
      </c>
    </row>
    <row r="17" spans="1:27" ht="27" customHeight="1">
      <c r="A17" s="486"/>
      <c r="B17" s="546"/>
      <c r="C17" s="548" t="s">
        <v>470</v>
      </c>
      <c r="D17" s="549"/>
      <c r="E17" s="424" t="s">
        <v>15</v>
      </c>
      <c r="F17" s="18">
        <v>1</v>
      </c>
      <c r="G17" s="585">
        <f>ROUNDUP(($V$10+$Y$10+$Z$10+$AA$10)*$Y$28*$Y$34,0)</f>
        <v>1010</v>
      </c>
      <c r="H17" s="586"/>
      <c r="I17" s="586"/>
      <c r="J17" s="587"/>
      <c r="K17" s="571">
        <v>1000</v>
      </c>
      <c r="L17" s="571">
        <v>370</v>
      </c>
      <c r="M17" s="568">
        <v>100</v>
      </c>
      <c r="N17" s="23">
        <f>SUM(G17,$K$17:$M$21)</f>
        <v>2480</v>
      </c>
      <c r="P17" s="434"/>
      <c r="Q17" s="9">
        <v>3</v>
      </c>
      <c r="R17" s="286">
        <v>930</v>
      </c>
      <c r="S17" s="630"/>
      <c r="T17" s="615"/>
      <c r="U17" s="615"/>
      <c r="V17" s="436">
        <f t="shared" si="3"/>
        <v>976</v>
      </c>
      <c r="W17" s="437"/>
      <c r="X17" s="438"/>
      <c r="Y17" s="123">
        <f t="shared" si="0"/>
        <v>38</v>
      </c>
      <c r="Z17" s="123">
        <f t="shared" si="1"/>
        <v>20</v>
      </c>
      <c r="AA17" s="123">
        <f t="shared" si="2"/>
        <v>8</v>
      </c>
    </row>
    <row r="18" spans="1:27" ht="27" customHeight="1">
      <c r="A18" s="486"/>
      <c r="B18" s="546"/>
      <c r="C18" s="550"/>
      <c r="D18" s="551"/>
      <c r="E18" s="425"/>
      <c r="F18" s="18">
        <v>2</v>
      </c>
      <c r="G18" s="575">
        <f>ROUNDUP(($V$11+$Y$11+$Z$11+$AA$11)*$Y$28*$Y$34,0)</f>
        <v>1094</v>
      </c>
      <c r="H18" s="576"/>
      <c r="I18" s="576"/>
      <c r="J18" s="577"/>
      <c r="K18" s="571"/>
      <c r="L18" s="571"/>
      <c r="M18" s="568"/>
      <c r="N18" s="19">
        <f>SUM(G18,$K$17:$M$21)</f>
        <v>2564</v>
      </c>
      <c r="P18" s="434"/>
      <c r="Q18" s="9">
        <v>4</v>
      </c>
      <c r="R18" s="286">
        <v>988</v>
      </c>
      <c r="S18" s="630"/>
      <c r="T18" s="615"/>
      <c r="U18" s="615"/>
      <c r="V18" s="436">
        <f t="shared" si="3"/>
        <v>1034</v>
      </c>
      <c r="W18" s="437"/>
      <c r="X18" s="438"/>
      <c r="Y18" s="123">
        <f t="shared" si="0"/>
        <v>40</v>
      </c>
      <c r="Z18" s="123">
        <f t="shared" si="1"/>
        <v>22</v>
      </c>
      <c r="AA18" s="123">
        <f t="shared" si="2"/>
        <v>8</v>
      </c>
    </row>
    <row r="19" spans="1:27" ht="27" customHeight="1" thickBot="1">
      <c r="A19" s="486"/>
      <c r="B19" s="546"/>
      <c r="C19" s="550"/>
      <c r="D19" s="551"/>
      <c r="E19" s="425"/>
      <c r="F19" s="18">
        <v>3</v>
      </c>
      <c r="G19" s="575">
        <f>ROUNDUP(($V$12+$Y$12+$Z$12+$AA$12)*$Y$28*$Y$34,0)</f>
        <v>1162</v>
      </c>
      <c r="H19" s="576"/>
      <c r="I19" s="576"/>
      <c r="J19" s="577"/>
      <c r="K19" s="571"/>
      <c r="L19" s="571"/>
      <c r="M19" s="568"/>
      <c r="N19" s="19">
        <f>SUM(G19,$K$17:$M$21)</f>
        <v>2632</v>
      </c>
      <c r="P19" s="435"/>
      <c r="Q19" s="10">
        <v>5</v>
      </c>
      <c r="R19" s="289">
        <v>1044</v>
      </c>
      <c r="S19" s="631"/>
      <c r="T19" s="616"/>
      <c r="U19" s="616"/>
      <c r="V19" s="439">
        <f t="shared" si="3"/>
        <v>1090</v>
      </c>
      <c r="W19" s="440"/>
      <c r="X19" s="441"/>
      <c r="Y19" s="122">
        <f t="shared" si="0"/>
        <v>43</v>
      </c>
      <c r="Z19" s="122">
        <f t="shared" si="1"/>
        <v>23</v>
      </c>
      <c r="AA19" s="122">
        <f t="shared" si="2"/>
        <v>9</v>
      </c>
    </row>
    <row r="20" spans="1:14" ht="27" customHeight="1">
      <c r="A20" s="486"/>
      <c r="B20" s="546"/>
      <c r="C20" s="550"/>
      <c r="D20" s="551"/>
      <c r="E20" s="425"/>
      <c r="F20" s="18">
        <v>4</v>
      </c>
      <c r="G20" s="588">
        <f>ROUNDUP(($V$13+$Y$13+$Z$13+$AA$13)*$Y$28*$Y$34,0)</f>
        <v>1226</v>
      </c>
      <c r="H20" s="589"/>
      <c r="I20" s="589"/>
      <c r="J20" s="590"/>
      <c r="K20" s="571"/>
      <c r="L20" s="571"/>
      <c r="M20" s="568"/>
      <c r="N20" s="19">
        <f>SUM(G20,$K$17:$M$21)</f>
        <v>2696</v>
      </c>
    </row>
    <row r="21" spans="1:14" ht="27" customHeight="1" thickBot="1">
      <c r="A21" s="486"/>
      <c r="B21" s="546"/>
      <c r="C21" s="550"/>
      <c r="D21" s="551"/>
      <c r="E21" s="426"/>
      <c r="F21" s="18">
        <v>5</v>
      </c>
      <c r="G21" s="575">
        <f>ROUNDUP(($V$14+$Y$14+$Z$14+$AA$14)*$Y$28*$Y$34,0)</f>
        <v>1289</v>
      </c>
      <c r="H21" s="576"/>
      <c r="I21" s="576"/>
      <c r="J21" s="577"/>
      <c r="K21" s="591"/>
      <c r="L21" s="591"/>
      <c r="M21" s="569"/>
      <c r="N21" s="19">
        <f>SUM(G21,$K$17:$M$21)</f>
        <v>2759</v>
      </c>
    </row>
    <row r="22" spans="1:25" ht="27" customHeight="1" thickBot="1">
      <c r="A22" s="486"/>
      <c r="B22" s="546"/>
      <c r="C22" s="550"/>
      <c r="D22" s="551"/>
      <c r="E22" s="433" t="s">
        <v>16</v>
      </c>
      <c r="F22" s="18">
        <v>1</v>
      </c>
      <c r="G22" s="575">
        <f>ROUNDUP(($V$15+$Y$15+$Z$15+$AA$15)*$Y$28*$Y$34,0)</f>
        <v>923</v>
      </c>
      <c r="H22" s="576"/>
      <c r="I22" s="576"/>
      <c r="J22" s="577"/>
      <c r="K22" s="571">
        <v>1000</v>
      </c>
      <c r="L22" s="571">
        <v>1310</v>
      </c>
      <c r="M22" s="568">
        <v>100</v>
      </c>
      <c r="N22" s="19">
        <f>SUM(G22,$K$22:$M$26)</f>
        <v>3333</v>
      </c>
      <c r="V22" s="430" t="s">
        <v>115</v>
      </c>
      <c r="W22" s="431"/>
      <c r="X22" s="432"/>
      <c r="Y22" s="135">
        <f>39/1000</f>
        <v>0.039</v>
      </c>
    </row>
    <row r="23" spans="1:25" ht="27" customHeight="1" thickBot="1">
      <c r="A23" s="486"/>
      <c r="B23" s="546"/>
      <c r="C23" s="550"/>
      <c r="D23" s="551"/>
      <c r="E23" s="434"/>
      <c r="F23" s="18">
        <v>2</v>
      </c>
      <c r="G23" s="575">
        <f>ROUNDUP(($V$16+$Y$16+$Z$16+$AA$16)*$Y$28*$Y$34,0)</f>
        <v>1002</v>
      </c>
      <c r="H23" s="576"/>
      <c r="I23" s="576"/>
      <c r="J23" s="577"/>
      <c r="K23" s="571"/>
      <c r="L23" s="571"/>
      <c r="M23" s="568"/>
      <c r="N23" s="19">
        <f>SUM(G23,$K$22:$M$26)</f>
        <v>3412</v>
      </c>
      <c r="V23" s="256"/>
      <c r="W23" s="256"/>
      <c r="X23" s="256"/>
      <c r="Y23" s="163"/>
    </row>
    <row r="24" spans="1:25" ht="27" customHeight="1" thickBot="1">
      <c r="A24" s="486"/>
      <c r="B24" s="546"/>
      <c r="C24" s="550"/>
      <c r="D24" s="551"/>
      <c r="E24" s="434"/>
      <c r="F24" s="18">
        <v>3</v>
      </c>
      <c r="G24" s="575">
        <f>ROUNDUP(($V$17+$Y$17+$Z$17+$AA$17)*$Y$28*$Y$34,0)</f>
        <v>1071</v>
      </c>
      <c r="H24" s="576"/>
      <c r="I24" s="576"/>
      <c r="J24" s="577"/>
      <c r="K24" s="571"/>
      <c r="L24" s="571"/>
      <c r="M24" s="568"/>
      <c r="N24" s="19">
        <f>SUM(G24,$K$22:$M$26)</f>
        <v>3481</v>
      </c>
      <c r="V24" s="430" t="s">
        <v>334</v>
      </c>
      <c r="W24" s="431"/>
      <c r="X24" s="432"/>
      <c r="Y24" s="135">
        <v>0.021</v>
      </c>
    </row>
    <row r="25" spans="1:25" ht="27" customHeight="1" thickBot="1">
      <c r="A25" s="486"/>
      <c r="B25" s="546"/>
      <c r="C25" s="550"/>
      <c r="D25" s="551"/>
      <c r="E25" s="434"/>
      <c r="F25" s="18">
        <v>4</v>
      </c>
      <c r="G25" s="575">
        <f>ROUNDUP(($V$18+$Y$18+$Z$18+$AA$18)*$Y$28*$Y$34,0)</f>
        <v>1134</v>
      </c>
      <c r="H25" s="576"/>
      <c r="I25" s="576"/>
      <c r="J25" s="577"/>
      <c r="K25" s="571"/>
      <c r="L25" s="571"/>
      <c r="M25" s="568"/>
      <c r="N25" s="19">
        <f>SUM(G25,$K$22:$M$26)</f>
        <v>3544</v>
      </c>
      <c r="V25" s="256"/>
      <c r="W25" s="256"/>
      <c r="X25" s="256"/>
      <c r="Y25" s="163"/>
    </row>
    <row r="26" spans="1:25" ht="27" customHeight="1" thickBot="1">
      <c r="A26" s="486"/>
      <c r="B26" s="547"/>
      <c r="C26" s="552"/>
      <c r="D26" s="553"/>
      <c r="E26" s="435"/>
      <c r="F26" s="21">
        <v>5</v>
      </c>
      <c r="G26" s="575">
        <f>ROUNDUP(($V$19+$Y$19+$Z$19+$AA$19)*$Y$28*$Y$34,0)</f>
        <v>1197</v>
      </c>
      <c r="H26" s="576"/>
      <c r="I26" s="576"/>
      <c r="J26" s="577"/>
      <c r="K26" s="571"/>
      <c r="L26" s="571"/>
      <c r="M26" s="568"/>
      <c r="N26" s="19">
        <f>SUM(G26,$K$22:$M$26)</f>
        <v>3607</v>
      </c>
      <c r="V26" s="430" t="s">
        <v>334</v>
      </c>
      <c r="W26" s="431"/>
      <c r="X26" s="432"/>
      <c r="Y26" s="135">
        <v>0.008</v>
      </c>
    </row>
    <row r="27" spans="1:18" ht="27" customHeight="1" thickBot="1">
      <c r="A27" s="486"/>
      <c r="B27" s="468" t="s">
        <v>458</v>
      </c>
      <c r="C27" s="635" t="s">
        <v>77</v>
      </c>
      <c r="D27" s="636"/>
      <c r="E27" s="424" t="s">
        <v>15</v>
      </c>
      <c r="F27" s="18">
        <v>1</v>
      </c>
      <c r="G27" s="585">
        <f>ROUNDUP(($V$10+$Y$10+$Z$10+$AA$10)*$Y$28*$Y$34,0)</f>
        <v>1010</v>
      </c>
      <c r="H27" s="586"/>
      <c r="I27" s="586"/>
      <c r="J27" s="587"/>
      <c r="K27" s="601">
        <v>600</v>
      </c>
      <c r="L27" s="600">
        <v>370</v>
      </c>
      <c r="M27" s="592">
        <v>100</v>
      </c>
      <c r="N27" s="75">
        <f>SUM(G27,$K$27:$M$31)</f>
        <v>2080</v>
      </c>
      <c r="R27" s="143">
        <v>739</v>
      </c>
    </row>
    <row r="28" spans="1:25" ht="27" customHeight="1" thickBot="1">
      <c r="A28" s="486"/>
      <c r="B28" s="469"/>
      <c r="C28" s="637"/>
      <c r="D28" s="638"/>
      <c r="E28" s="425"/>
      <c r="F28" s="18">
        <v>2</v>
      </c>
      <c r="G28" s="575">
        <f>ROUNDUP(($V$11+$Y$11+$Z$11+$AA$11)*$Y$28*$Y$34,0)</f>
        <v>1094</v>
      </c>
      <c r="H28" s="576"/>
      <c r="I28" s="576"/>
      <c r="J28" s="577"/>
      <c r="K28" s="571"/>
      <c r="L28" s="581"/>
      <c r="M28" s="593"/>
      <c r="N28" s="19">
        <f>SUM(G28,$K$27:$M$31)</f>
        <v>2164</v>
      </c>
      <c r="R28" s="143">
        <v>810</v>
      </c>
      <c r="V28" s="633" t="s">
        <v>123</v>
      </c>
      <c r="W28" s="634"/>
      <c r="X28" s="634"/>
      <c r="Y28" s="147">
        <v>10.27</v>
      </c>
    </row>
    <row r="29" spans="1:18" ht="27" customHeight="1" thickBot="1">
      <c r="A29" s="486"/>
      <c r="B29" s="469"/>
      <c r="C29" s="637"/>
      <c r="D29" s="638"/>
      <c r="E29" s="425"/>
      <c r="F29" s="18">
        <v>3</v>
      </c>
      <c r="G29" s="575">
        <f>ROUNDUP(($V$12+$Y$12+$Z$12+$AA$12)*$Y$28*$Y$34,0)</f>
        <v>1162</v>
      </c>
      <c r="H29" s="576"/>
      <c r="I29" s="576"/>
      <c r="J29" s="577"/>
      <c r="K29" s="571"/>
      <c r="L29" s="581"/>
      <c r="M29" s="593"/>
      <c r="N29" s="19">
        <f>SUM(G29,$K$27:$M$31)</f>
        <v>2232</v>
      </c>
      <c r="R29" s="143">
        <v>872</v>
      </c>
    </row>
    <row r="30" spans="1:25" ht="27" customHeight="1" thickBot="1">
      <c r="A30" s="486"/>
      <c r="B30" s="469"/>
      <c r="C30" s="637"/>
      <c r="D30" s="638"/>
      <c r="E30" s="425"/>
      <c r="F30" s="18">
        <v>4</v>
      </c>
      <c r="G30" s="588">
        <f>ROUNDUP(($V$13+$Y$13+$Z$13+$AA$13)*$Y$28*$Y$34,0)</f>
        <v>1226</v>
      </c>
      <c r="H30" s="589"/>
      <c r="I30" s="589"/>
      <c r="J30" s="590"/>
      <c r="K30" s="571"/>
      <c r="L30" s="581"/>
      <c r="M30" s="593"/>
      <c r="N30" s="19">
        <f>SUM(G30,$K$27:$M$31)</f>
        <v>2296</v>
      </c>
      <c r="R30" s="143">
        <v>923</v>
      </c>
      <c r="V30" s="445" t="s">
        <v>190</v>
      </c>
      <c r="W30" s="446"/>
      <c r="X30" s="632"/>
      <c r="Y30" s="146">
        <f>3/10</f>
        <v>0.3</v>
      </c>
    </row>
    <row r="31" spans="1:18" ht="27" customHeight="1" thickBot="1">
      <c r="A31" s="486"/>
      <c r="B31" s="469"/>
      <c r="C31" s="637"/>
      <c r="D31" s="638"/>
      <c r="E31" s="426"/>
      <c r="F31" s="18">
        <v>5</v>
      </c>
      <c r="G31" s="575">
        <f>ROUNDUP(($V$14+$Y$14+$Z$14+$AA$14)*$Y$28*$Y$34,0)</f>
        <v>1289</v>
      </c>
      <c r="H31" s="576"/>
      <c r="I31" s="576"/>
      <c r="J31" s="577"/>
      <c r="K31" s="591"/>
      <c r="L31" s="582"/>
      <c r="M31" s="594"/>
      <c r="N31" s="19">
        <f>SUM(G31,$K$27:$M$31)</f>
        <v>2359</v>
      </c>
      <c r="R31" s="150">
        <v>983</v>
      </c>
    </row>
    <row r="32" spans="1:25" ht="27" customHeight="1" thickBot="1">
      <c r="A32" s="486"/>
      <c r="B32" s="469"/>
      <c r="C32" s="637"/>
      <c r="D32" s="638"/>
      <c r="E32" s="433" t="s">
        <v>16</v>
      </c>
      <c r="F32" s="18">
        <v>1</v>
      </c>
      <c r="G32" s="575">
        <f>ROUNDUP(($V$15+$Y$15+$Z$15+$AA$15)*$Y$28*$Y$34,0)</f>
        <v>923</v>
      </c>
      <c r="H32" s="576"/>
      <c r="I32" s="576"/>
      <c r="J32" s="577"/>
      <c r="K32" s="570">
        <v>600</v>
      </c>
      <c r="L32" s="570">
        <v>490</v>
      </c>
      <c r="M32" s="595">
        <v>100</v>
      </c>
      <c r="N32" s="19">
        <f>SUM(G32,$K$32:$M$36)</f>
        <v>2113</v>
      </c>
      <c r="V32" s="445" t="s">
        <v>298</v>
      </c>
      <c r="W32" s="446"/>
      <c r="X32" s="632"/>
      <c r="Y32" s="146">
        <f>2/10</f>
        <v>0.2</v>
      </c>
    </row>
    <row r="33" spans="1:14" ht="27" customHeight="1" thickBot="1">
      <c r="A33" s="486"/>
      <c r="B33" s="469"/>
      <c r="C33" s="637"/>
      <c r="D33" s="638"/>
      <c r="E33" s="434"/>
      <c r="F33" s="18">
        <v>2</v>
      </c>
      <c r="G33" s="575">
        <f>ROUNDUP(($V$16+$Y$16+$Z$16+$AA$16)*$Y$28*$Y$34,0)</f>
        <v>1002</v>
      </c>
      <c r="H33" s="576"/>
      <c r="I33" s="576"/>
      <c r="J33" s="577"/>
      <c r="K33" s="571"/>
      <c r="L33" s="571"/>
      <c r="M33" s="593"/>
      <c r="N33" s="19">
        <f>SUM(G33,$K$32:$M$36)</f>
        <v>2192</v>
      </c>
    </row>
    <row r="34" spans="1:25" ht="27" customHeight="1" thickBot="1">
      <c r="A34" s="486"/>
      <c r="B34" s="469"/>
      <c r="C34" s="637"/>
      <c r="D34" s="638"/>
      <c r="E34" s="434"/>
      <c r="F34" s="18">
        <v>3</v>
      </c>
      <c r="G34" s="575">
        <f>ROUNDUP(($V$17+$Y$17+$Z$17+$AA$17)*$Y$28*$Y$34,0)</f>
        <v>1071</v>
      </c>
      <c r="H34" s="576"/>
      <c r="I34" s="576"/>
      <c r="J34" s="577"/>
      <c r="K34" s="571"/>
      <c r="L34" s="571"/>
      <c r="M34" s="593"/>
      <c r="N34" s="19">
        <f>SUM(G34,$K$32:$M$36)</f>
        <v>2261</v>
      </c>
      <c r="V34" s="445" t="s">
        <v>299</v>
      </c>
      <c r="W34" s="446"/>
      <c r="X34" s="632"/>
      <c r="Y34" s="146">
        <f>1/10</f>
        <v>0.1</v>
      </c>
    </row>
    <row r="35" spans="1:14" ht="27" customHeight="1">
      <c r="A35" s="486"/>
      <c r="B35" s="469"/>
      <c r="C35" s="637"/>
      <c r="D35" s="638"/>
      <c r="E35" s="434"/>
      <c r="F35" s="18">
        <v>4</v>
      </c>
      <c r="G35" s="575">
        <f>ROUNDUP(($V$18+$Y$18+$Z$18+$AA$18)*$Y$28*$Y$34,0)</f>
        <v>1134</v>
      </c>
      <c r="H35" s="576"/>
      <c r="I35" s="576"/>
      <c r="J35" s="577"/>
      <c r="K35" s="571"/>
      <c r="L35" s="571"/>
      <c r="M35" s="593"/>
      <c r="N35" s="19">
        <f>SUM(G35,$K$32:$M$36)</f>
        <v>2324</v>
      </c>
    </row>
    <row r="36" spans="1:14" ht="27" customHeight="1" thickBot="1">
      <c r="A36" s="486"/>
      <c r="B36" s="470"/>
      <c r="C36" s="639"/>
      <c r="D36" s="640"/>
      <c r="E36" s="435"/>
      <c r="F36" s="21">
        <v>5</v>
      </c>
      <c r="G36" s="575">
        <f>ROUNDUP(($V$19+$Y$19+$Z$19+$AA$19)*$Y$28*$Y$34,0)</f>
        <v>1197</v>
      </c>
      <c r="H36" s="576"/>
      <c r="I36" s="576"/>
      <c r="J36" s="577"/>
      <c r="K36" s="572"/>
      <c r="L36" s="572"/>
      <c r="M36" s="596"/>
      <c r="N36" s="126">
        <f>SUM(G36,$K$32:$M$36)</f>
        <v>2387</v>
      </c>
    </row>
    <row r="37" spans="1:21" ht="27" customHeight="1">
      <c r="A37" s="486"/>
      <c r="B37" s="468" t="s">
        <v>461</v>
      </c>
      <c r="C37" s="565" t="s">
        <v>17</v>
      </c>
      <c r="D37" s="472" t="s">
        <v>18</v>
      </c>
      <c r="E37" s="424" t="s">
        <v>15</v>
      </c>
      <c r="F37" s="18">
        <v>1</v>
      </c>
      <c r="G37" s="585">
        <f>ROUNDUP(($V$10+$Y$10+$Z$10+$AA$10)*$Y$28*$Y$34,0)</f>
        <v>1010</v>
      </c>
      <c r="H37" s="586"/>
      <c r="I37" s="586"/>
      <c r="J37" s="587"/>
      <c r="K37" s="581">
        <v>300</v>
      </c>
      <c r="L37" s="581">
        <v>0</v>
      </c>
      <c r="M37" s="568">
        <v>100</v>
      </c>
      <c r="N37" s="75">
        <f>SUM(G37,$K$37:$M$41)</f>
        <v>1410</v>
      </c>
      <c r="S37" s="280"/>
      <c r="T37" s="95"/>
      <c r="U37" s="95"/>
    </row>
    <row r="38" spans="1:21" ht="27" customHeight="1" thickBot="1">
      <c r="A38" s="486"/>
      <c r="B38" s="560"/>
      <c r="C38" s="566"/>
      <c r="D38" s="474"/>
      <c r="E38" s="425"/>
      <c r="F38" s="18">
        <v>2</v>
      </c>
      <c r="G38" s="575">
        <f>ROUNDUP(($V$11+$Y$11+$Z$11+$AA$11)*$Y$28*$Y$34,0)</f>
        <v>1094</v>
      </c>
      <c r="H38" s="576"/>
      <c r="I38" s="576"/>
      <c r="J38" s="577"/>
      <c r="K38" s="581"/>
      <c r="L38" s="581"/>
      <c r="M38" s="568"/>
      <c r="N38" s="19">
        <f>SUM(G38,$K$37:$M$41)</f>
        <v>1494</v>
      </c>
      <c r="S38" s="277"/>
      <c r="T38" s="278"/>
      <c r="U38" s="278"/>
    </row>
    <row r="39" spans="1:22" ht="27" customHeight="1">
      <c r="A39" s="486"/>
      <c r="B39" s="560"/>
      <c r="C39" s="566"/>
      <c r="D39" s="474"/>
      <c r="E39" s="425"/>
      <c r="F39" s="18">
        <v>3</v>
      </c>
      <c r="G39" s="575">
        <f>ROUNDUP(($V$12+$Y$12+$Z$12+$AA$12)*$Y$28*$Y$34,0)</f>
        <v>1162</v>
      </c>
      <c r="H39" s="576"/>
      <c r="I39" s="576"/>
      <c r="J39" s="577"/>
      <c r="K39" s="581"/>
      <c r="L39" s="581"/>
      <c r="M39" s="568"/>
      <c r="N39" s="19">
        <f>SUM(G39,$K$37:$M$41)</f>
        <v>1562</v>
      </c>
      <c r="V39" s="281"/>
    </row>
    <row r="40" spans="1:22" ht="27" customHeight="1" thickBot="1">
      <c r="A40" s="486"/>
      <c r="B40" s="560"/>
      <c r="C40" s="566"/>
      <c r="D40" s="474"/>
      <c r="E40" s="425"/>
      <c r="F40" s="18">
        <v>4</v>
      </c>
      <c r="G40" s="588">
        <f>ROUNDUP(($V$13+$Y$13+$Z$13+$AA$13)*$Y$28*$Y$34,0)</f>
        <v>1226</v>
      </c>
      <c r="H40" s="589"/>
      <c r="I40" s="589"/>
      <c r="J40" s="590"/>
      <c r="K40" s="581"/>
      <c r="L40" s="581"/>
      <c r="M40" s="568"/>
      <c r="N40" s="19">
        <f>SUM(G40,$K$37:$M$41)</f>
        <v>1626</v>
      </c>
      <c r="V40" s="279"/>
    </row>
    <row r="41" spans="1:14" ht="27" customHeight="1">
      <c r="A41" s="486"/>
      <c r="B41" s="560"/>
      <c r="C41" s="566"/>
      <c r="D41" s="474"/>
      <c r="E41" s="426"/>
      <c r="F41" s="18">
        <v>5</v>
      </c>
      <c r="G41" s="575">
        <f>ROUNDUP(($V$14+$Y$14+$Z$14+$AA$14)*$Y$28*$Y$34,0)</f>
        <v>1289</v>
      </c>
      <c r="H41" s="576"/>
      <c r="I41" s="576"/>
      <c r="J41" s="577"/>
      <c r="K41" s="582"/>
      <c r="L41" s="582"/>
      <c r="M41" s="569"/>
      <c r="N41" s="19">
        <f>SUM(G41,$K$37:$M$41)</f>
        <v>1689</v>
      </c>
    </row>
    <row r="42" spans="1:14" ht="27" customHeight="1">
      <c r="A42" s="486"/>
      <c r="B42" s="560"/>
      <c r="C42" s="566"/>
      <c r="D42" s="474"/>
      <c r="E42" s="433" t="s">
        <v>16</v>
      </c>
      <c r="F42" s="18">
        <v>1</v>
      </c>
      <c r="G42" s="575">
        <f>ROUNDUP(($V$15+$Y$15+$Z$15+$AA$15)*$Y$28*$Y$34,0)</f>
        <v>923</v>
      </c>
      <c r="H42" s="576"/>
      <c r="I42" s="576"/>
      <c r="J42" s="577"/>
      <c r="K42" s="581">
        <v>300</v>
      </c>
      <c r="L42" s="581">
        <v>490</v>
      </c>
      <c r="M42" s="568">
        <v>100</v>
      </c>
      <c r="N42" s="19">
        <f>SUM(G42,$K$42:$M$46)</f>
        <v>1813</v>
      </c>
    </row>
    <row r="43" spans="1:14" ht="27" customHeight="1">
      <c r="A43" s="486"/>
      <c r="B43" s="560"/>
      <c r="C43" s="566"/>
      <c r="D43" s="474"/>
      <c r="E43" s="434"/>
      <c r="F43" s="18">
        <v>2</v>
      </c>
      <c r="G43" s="575">
        <f>ROUNDUP(($V$16+$Y$16+$Z$16+$AA$16)*$Y$28*$Y$34,0)</f>
        <v>1002</v>
      </c>
      <c r="H43" s="576"/>
      <c r="I43" s="576"/>
      <c r="J43" s="577"/>
      <c r="K43" s="581"/>
      <c r="L43" s="581"/>
      <c r="M43" s="568"/>
      <c r="N43" s="19">
        <f>SUM(G43,$K$42:$M$46)</f>
        <v>1892</v>
      </c>
    </row>
    <row r="44" spans="1:14" ht="27" customHeight="1">
      <c r="A44" s="486"/>
      <c r="B44" s="560"/>
      <c r="C44" s="566"/>
      <c r="D44" s="474"/>
      <c r="E44" s="434"/>
      <c r="F44" s="18">
        <v>3</v>
      </c>
      <c r="G44" s="575">
        <f>ROUNDUP(($V$17+$Y$17+$Z$17+$AA$17)*$Y$28*$Y$34,0)</f>
        <v>1071</v>
      </c>
      <c r="H44" s="576"/>
      <c r="I44" s="576"/>
      <c r="J44" s="577"/>
      <c r="K44" s="581"/>
      <c r="L44" s="581"/>
      <c r="M44" s="568"/>
      <c r="N44" s="19">
        <f>SUM(G44,$K$42:$M$46)</f>
        <v>1961</v>
      </c>
    </row>
    <row r="45" spans="1:14" ht="27" customHeight="1">
      <c r="A45" s="486"/>
      <c r="B45" s="560"/>
      <c r="C45" s="566"/>
      <c r="D45" s="474"/>
      <c r="E45" s="434"/>
      <c r="F45" s="18">
        <v>4</v>
      </c>
      <c r="G45" s="575">
        <f>ROUNDUP(($V$18+$Y$18+$Z$18+$AA$18)*$Y$28*$Y$34,0)</f>
        <v>1134</v>
      </c>
      <c r="H45" s="576"/>
      <c r="I45" s="576"/>
      <c r="J45" s="577"/>
      <c r="K45" s="581"/>
      <c r="L45" s="581"/>
      <c r="M45" s="568"/>
      <c r="N45" s="19">
        <f>SUM(G45,$K$42:$M$46)</f>
        <v>2024</v>
      </c>
    </row>
    <row r="46" spans="1:14" ht="27" customHeight="1" thickBot="1">
      <c r="A46" s="487"/>
      <c r="B46" s="561"/>
      <c r="C46" s="567"/>
      <c r="D46" s="476"/>
      <c r="E46" s="435"/>
      <c r="F46" s="21">
        <v>5</v>
      </c>
      <c r="G46" s="575">
        <f>ROUNDUP(($V$19+$Y$19+$Z$19+$AA$19)*$Y$28*$Y$34,0)</f>
        <v>1197</v>
      </c>
      <c r="H46" s="576"/>
      <c r="I46" s="576"/>
      <c r="J46" s="577"/>
      <c r="K46" s="584"/>
      <c r="L46" s="584"/>
      <c r="M46" s="574"/>
      <c r="N46" s="22">
        <f>SUM(G46,$K$42:$M$46)</f>
        <v>2087</v>
      </c>
    </row>
    <row r="47" spans="1:21" ht="18" customHeight="1">
      <c r="A47" s="149"/>
      <c r="B47" s="94"/>
      <c r="C47" s="149"/>
      <c r="D47" s="149"/>
      <c r="E47" s="149"/>
      <c r="F47" s="236"/>
      <c r="G47" s="245"/>
      <c r="H47" s="245"/>
      <c r="I47" s="245"/>
      <c r="J47" s="245"/>
      <c r="K47" s="247"/>
      <c r="L47" s="247"/>
      <c r="M47" s="247"/>
      <c r="N47" s="248"/>
      <c r="S47" s="280"/>
      <c r="T47" s="95"/>
      <c r="U47" s="95"/>
    </row>
    <row r="48" spans="11:16" ht="18" customHeight="1" thickBot="1">
      <c r="K48" s="74"/>
      <c r="L48" s="253" t="str">
        <f>$L$2</f>
        <v>(2022年10月1日～改訂)</v>
      </c>
      <c r="M48" s="5"/>
      <c r="O48" s="25"/>
      <c r="P48" s="25"/>
    </row>
    <row r="49" spans="2:22" ht="18" customHeight="1" thickBot="1">
      <c r="B49" s="602" t="s">
        <v>20</v>
      </c>
      <c r="C49" s="603"/>
      <c r="D49" s="603"/>
      <c r="E49" s="603"/>
      <c r="F49" s="604"/>
      <c r="G49" s="605" t="s">
        <v>3</v>
      </c>
      <c r="H49" s="606"/>
      <c r="I49" s="606"/>
      <c r="J49" s="606"/>
      <c r="K49" s="607"/>
      <c r="L49" s="17"/>
      <c r="O49" s="25"/>
      <c r="P49" s="25"/>
      <c r="V49" s="281"/>
    </row>
    <row r="50" spans="6:16" ht="8.25" customHeight="1" thickBot="1">
      <c r="F50" s="8"/>
      <c r="G50" s="8"/>
      <c r="H50" s="8"/>
      <c r="I50" s="8"/>
      <c r="J50" s="8"/>
      <c r="O50" s="25"/>
      <c r="P50" s="25"/>
    </row>
    <row r="51" spans="6:16" ht="15" customHeight="1" thickBot="1">
      <c r="F51" s="8"/>
      <c r="G51" s="445" t="s">
        <v>72</v>
      </c>
      <c r="H51" s="446"/>
      <c r="I51" s="446"/>
      <c r="J51" s="447"/>
      <c r="K51" s="608" t="s">
        <v>70</v>
      </c>
      <c r="L51" s="609"/>
      <c r="M51" s="353" t="s">
        <v>71</v>
      </c>
      <c r="O51" s="25"/>
      <c r="P51" s="25"/>
    </row>
    <row r="52" spans="2:16" ht="27" customHeight="1" thickBot="1">
      <c r="B52" s="506" t="s">
        <v>4</v>
      </c>
      <c r="C52" s="507"/>
      <c r="D52" s="610"/>
      <c r="E52" s="354" t="s">
        <v>5</v>
      </c>
      <c r="F52" s="366" t="s">
        <v>6</v>
      </c>
      <c r="G52" s="611" t="s">
        <v>143</v>
      </c>
      <c r="H52" s="612"/>
      <c r="I52" s="612"/>
      <c r="J52" s="613"/>
      <c r="K52" s="358" t="s">
        <v>21</v>
      </c>
      <c r="L52" s="354" t="s">
        <v>10</v>
      </c>
      <c r="M52" s="359" t="s">
        <v>11</v>
      </c>
      <c r="N52" s="360" t="s">
        <v>12</v>
      </c>
      <c r="O52" s="25"/>
      <c r="P52" s="25"/>
    </row>
    <row r="53" spans="1:16" ht="27" customHeight="1">
      <c r="A53" s="485" t="s">
        <v>296</v>
      </c>
      <c r="B53" s="468" t="s">
        <v>13</v>
      </c>
      <c r="C53" s="565" t="s">
        <v>14</v>
      </c>
      <c r="D53" s="472"/>
      <c r="E53" s="424" t="s">
        <v>15</v>
      </c>
      <c r="F53" s="18">
        <v>1</v>
      </c>
      <c r="G53" s="597">
        <f>ROUNDUP(($V$10+$Y$10+$Z$10+$AA$10)*$Y$28*$Y$30,0)</f>
        <v>3029</v>
      </c>
      <c r="H53" s="598"/>
      <c r="I53" s="598"/>
      <c r="J53" s="599"/>
      <c r="K53" s="600">
        <v>1880</v>
      </c>
      <c r="L53" s="601">
        <v>370</v>
      </c>
      <c r="M53" s="592">
        <v>100</v>
      </c>
      <c r="N53" s="367">
        <f>SUM(G53,$K$53:$M$57)</f>
        <v>5379</v>
      </c>
      <c r="O53" s="25"/>
      <c r="P53" s="25"/>
    </row>
    <row r="54" spans="1:16" ht="27" customHeight="1">
      <c r="A54" s="486"/>
      <c r="B54" s="469"/>
      <c r="C54" s="566"/>
      <c r="D54" s="474"/>
      <c r="E54" s="425"/>
      <c r="F54" s="18">
        <v>2</v>
      </c>
      <c r="G54" s="575">
        <f>ROUNDUP(($V$11+$Y$11+$Z$11+$AA$11)*$Y$28*$Y$30,0)</f>
        <v>3282</v>
      </c>
      <c r="H54" s="576"/>
      <c r="I54" s="576"/>
      <c r="J54" s="577"/>
      <c r="K54" s="581"/>
      <c r="L54" s="571"/>
      <c r="M54" s="593"/>
      <c r="N54" s="19">
        <f>SUM(G54,$K$53:$M$57)</f>
        <v>5632</v>
      </c>
      <c r="O54" s="25"/>
      <c r="P54" s="25"/>
    </row>
    <row r="55" spans="1:16" ht="27" customHeight="1">
      <c r="A55" s="486"/>
      <c r="B55" s="469"/>
      <c r="C55" s="566"/>
      <c r="D55" s="474"/>
      <c r="E55" s="425"/>
      <c r="F55" s="18">
        <v>3</v>
      </c>
      <c r="G55" s="575">
        <f>ROUNDUP(($V$12+$Y$12+$Z$12+$AA$12)*$Y$28*$Y$30,0)</f>
        <v>3485</v>
      </c>
      <c r="H55" s="576"/>
      <c r="I55" s="576"/>
      <c r="J55" s="577"/>
      <c r="K55" s="581"/>
      <c r="L55" s="571"/>
      <c r="M55" s="593"/>
      <c r="N55" s="19">
        <f>SUM(G55,$K$53:$M$57)</f>
        <v>5835</v>
      </c>
      <c r="O55" s="25"/>
      <c r="P55" s="25"/>
    </row>
    <row r="56" spans="1:16" ht="27" customHeight="1">
      <c r="A56" s="486"/>
      <c r="B56" s="469"/>
      <c r="C56" s="566"/>
      <c r="D56" s="474"/>
      <c r="E56" s="425"/>
      <c r="F56" s="18">
        <v>4</v>
      </c>
      <c r="G56" s="575">
        <f>ROUNDUP(($V$13+$Y$13+$Z$13+$AA$13)*$Y$28*$Y$30,0)</f>
        <v>3676</v>
      </c>
      <c r="H56" s="576"/>
      <c r="I56" s="576"/>
      <c r="J56" s="577"/>
      <c r="K56" s="581"/>
      <c r="L56" s="571"/>
      <c r="M56" s="593"/>
      <c r="N56" s="19">
        <f>SUM(G56,$K$53:$M$57)</f>
        <v>6026</v>
      </c>
      <c r="O56" s="25"/>
      <c r="P56" s="25"/>
    </row>
    <row r="57" spans="1:16" ht="27" customHeight="1">
      <c r="A57" s="486"/>
      <c r="B57" s="469"/>
      <c r="C57" s="566"/>
      <c r="D57" s="474"/>
      <c r="E57" s="426"/>
      <c r="F57" s="18">
        <v>5</v>
      </c>
      <c r="G57" s="575">
        <f>ROUNDUP(($V$14+$Y$14+$Z$14+$AA$14)*$Y$28*$Y$30,0)</f>
        <v>3867</v>
      </c>
      <c r="H57" s="576"/>
      <c r="I57" s="576"/>
      <c r="J57" s="577"/>
      <c r="K57" s="582"/>
      <c r="L57" s="591"/>
      <c r="M57" s="594"/>
      <c r="N57" s="19">
        <f>SUM(G57,$K$53:$M$57)</f>
        <v>6217</v>
      </c>
      <c r="O57" s="25"/>
      <c r="P57" s="25"/>
    </row>
    <row r="58" spans="1:16" ht="27" customHeight="1">
      <c r="A58" s="486"/>
      <c r="B58" s="469"/>
      <c r="C58" s="566"/>
      <c r="D58" s="474"/>
      <c r="E58" s="433" t="s">
        <v>16</v>
      </c>
      <c r="F58" s="20">
        <v>1</v>
      </c>
      <c r="G58" s="575">
        <f>ROUNDUP(($V$15+$Y$15+$Z$15+$AA$15)*$Y$28*$Y$30,0)</f>
        <v>2767</v>
      </c>
      <c r="H58" s="576"/>
      <c r="I58" s="576"/>
      <c r="J58" s="577"/>
      <c r="K58" s="583">
        <v>1880</v>
      </c>
      <c r="L58" s="570">
        <v>1640</v>
      </c>
      <c r="M58" s="595">
        <v>100</v>
      </c>
      <c r="N58" s="19">
        <f>SUM(G58,$K$58:$M$62)</f>
        <v>6387</v>
      </c>
      <c r="O58" s="25"/>
      <c r="P58" s="25"/>
    </row>
    <row r="59" spans="1:16" ht="27" customHeight="1">
      <c r="A59" s="486"/>
      <c r="B59" s="469"/>
      <c r="C59" s="566"/>
      <c r="D59" s="474"/>
      <c r="E59" s="434"/>
      <c r="F59" s="18">
        <v>2</v>
      </c>
      <c r="G59" s="575">
        <f>ROUNDUP(($V$16+$Y$16+$Z$16+$AA$16)*$Y$28*$Y$30,0)</f>
        <v>3004</v>
      </c>
      <c r="H59" s="576"/>
      <c r="I59" s="576"/>
      <c r="J59" s="577"/>
      <c r="K59" s="581"/>
      <c r="L59" s="571"/>
      <c r="M59" s="593"/>
      <c r="N59" s="19">
        <f>SUM(G59,$K$58:$M$62)</f>
        <v>6624</v>
      </c>
      <c r="O59" s="25"/>
      <c r="P59" s="25"/>
    </row>
    <row r="60" spans="1:16" ht="27" customHeight="1">
      <c r="A60" s="486"/>
      <c r="B60" s="469"/>
      <c r="C60" s="566"/>
      <c r="D60" s="474"/>
      <c r="E60" s="434"/>
      <c r="F60" s="18">
        <v>3</v>
      </c>
      <c r="G60" s="575">
        <f>ROUNDUP(($V$17+$Y$17+$Z$17+$AA$17)*$Y$28*$Y$30,0)</f>
        <v>3211</v>
      </c>
      <c r="H60" s="576"/>
      <c r="I60" s="576"/>
      <c r="J60" s="577"/>
      <c r="K60" s="581"/>
      <c r="L60" s="571"/>
      <c r="M60" s="593"/>
      <c r="N60" s="19">
        <f>SUM(G60,$K$58:$M$62)</f>
        <v>6831</v>
      </c>
      <c r="O60" s="25"/>
      <c r="P60" s="25"/>
    </row>
    <row r="61" spans="1:16" ht="27" customHeight="1">
      <c r="A61" s="486"/>
      <c r="B61" s="469"/>
      <c r="C61" s="566"/>
      <c r="D61" s="474"/>
      <c r="E61" s="434"/>
      <c r="F61" s="18">
        <v>4</v>
      </c>
      <c r="G61" s="575">
        <f>ROUNDUP(($V$18+$Y$18+$Z$18+$AA$18)*$Y$28*$Y$30,0)</f>
        <v>3402</v>
      </c>
      <c r="H61" s="576"/>
      <c r="I61" s="576"/>
      <c r="J61" s="577"/>
      <c r="K61" s="581"/>
      <c r="L61" s="571"/>
      <c r="M61" s="593"/>
      <c r="N61" s="19">
        <f>SUM(G61,$K$58:$M$62)</f>
        <v>7022</v>
      </c>
      <c r="O61" s="25"/>
      <c r="P61" s="25"/>
    </row>
    <row r="62" spans="1:16" ht="27" customHeight="1" thickBot="1">
      <c r="A62" s="487"/>
      <c r="B62" s="470"/>
      <c r="C62" s="567"/>
      <c r="D62" s="476"/>
      <c r="E62" s="435"/>
      <c r="F62" s="21">
        <v>5</v>
      </c>
      <c r="G62" s="578">
        <f>ROUNDUP(($V$19+$Y$19+$Z$19+$AA$19)*$Y$28*$Y$30,0)</f>
        <v>3590</v>
      </c>
      <c r="H62" s="579"/>
      <c r="I62" s="579"/>
      <c r="J62" s="580"/>
      <c r="K62" s="584"/>
      <c r="L62" s="572"/>
      <c r="M62" s="596"/>
      <c r="N62" s="23">
        <f>SUM(G62,$K$58:$M$62)</f>
        <v>7210</v>
      </c>
      <c r="O62" s="25"/>
      <c r="P62" s="25"/>
    </row>
    <row r="63" spans="1:16" ht="27" customHeight="1">
      <c r="A63" s="485" t="s">
        <v>295</v>
      </c>
      <c r="B63" s="468" t="s">
        <v>13</v>
      </c>
      <c r="C63" s="471" t="s">
        <v>14</v>
      </c>
      <c r="D63" s="472"/>
      <c r="E63" s="424" t="s">
        <v>15</v>
      </c>
      <c r="F63" s="18">
        <v>1</v>
      </c>
      <c r="G63" s="585">
        <f>ROUNDUP(($V$10+$Y$10+$Z$10+$AA$10)*$Y$28*$Y$32,0)</f>
        <v>2020</v>
      </c>
      <c r="H63" s="586"/>
      <c r="I63" s="586"/>
      <c r="J63" s="587"/>
      <c r="K63" s="581">
        <v>1880</v>
      </c>
      <c r="L63" s="571">
        <v>370</v>
      </c>
      <c r="M63" s="568">
        <v>100</v>
      </c>
      <c r="N63" s="75">
        <f>SUM(G63,$K$63:$M$67)</f>
        <v>4370</v>
      </c>
      <c r="P63" s="25"/>
    </row>
    <row r="64" spans="1:16" ht="27" customHeight="1">
      <c r="A64" s="486"/>
      <c r="B64" s="469"/>
      <c r="C64" s="473"/>
      <c r="D64" s="474"/>
      <c r="E64" s="425"/>
      <c r="F64" s="18">
        <v>2</v>
      </c>
      <c r="G64" s="575">
        <f>ROUNDUP(($V$11+$Y$11+$Z$11+$AA$11)*$Y$28*$Y$32,0)</f>
        <v>2188</v>
      </c>
      <c r="H64" s="576"/>
      <c r="I64" s="576"/>
      <c r="J64" s="577"/>
      <c r="K64" s="581"/>
      <c r="L64" s="571"/>
      <c r="M64" s="568"/>
      <c r="N64" s="19">
        <f>SUM(G64,$K$63:$M$67)</f>
        <v>4538</v>
      </c>
      <c r="P64" s="25"/>
    </row>
    <row r="65" spans="1:16" ht="27" customHeight="1">
      <c r="A65" s="486"/>
      <c r="B65" s="469"/>
      <c r="C65" s="473"/>
      <c r="D65" s="474"/>
      <c r="E65" s="425"/>
      <c r="F65" s="18">
        <v>3</v>
      </c>
      <c r="G65" s="575">
        <f>ROUNDUP(($V$12+$Y$12+$Z$12+$AA$12)*$Y$28*$Y$32,0)</f>
        <v>2324</v>
      </c>
      <c r="H65" s="576"/>
      <c r="I65" s="576"/>
      <c r="J65" s="577"/>
      <c r="K65" s="581"/>
      <c r="L65" s="571"/>
      <c r="M65" s="568"/>
      <c r="N65" s="19">
        <f>SUM(G65,$K$63:$M$67)</f>
        <v>4674</v>
      </c>
      <c r="P65" s="25"/>
    </row>
    <row r="66" spans="1:14" ht="27" customHeight="1">
      <c r="A66" s="486"/>
      <c r="B66" s="469"/>
      <c r="C66" s="473"/>
      <c r="D66" s="474"/>
      <c r="E66" s="425"/>
      <c r="F66" s="18">
        <v>4</v>
      </c>
      <c r="G66" s="588">
        <f>ROUNDUP(($V$13+$Y$13+$Z$13+$AA$13)*$Y$28*$Y$32,0)</f>
        <v>2451</v>
      </c>
      <c r="H66" s="589"/>
      <c r="I66" s="589"/>
      <c r="J66" s="590"/>
      <c r="K66" s="581"/>
      <c r="L66" s="571"/>
      <c r="M66" s="568"/>
      <c r="N66" s="19">
        <f>SUM(G66,$K$63:$M$67)</f>
        <v>4801</v>
      </c>
    </row>
    <row r="67" spans="1:14" ht="27" customHeight="1">
      <c r="A67" s="486"/>
      <c r="B67" s="469"/>
      <c r="C67" s="473"/>
      <c r="D67" s="474"/>
      <c r="E67" s="426"/>
      <c r="F67" s="18">
        <v>5</v>
      </c>
      <c r="G67" s="575">
        <f>ROUNDUP(($V$14+$Y$14+$Z$14+$AA$14)*$Y$28*$Y$32,0)</f>
        <v>2578</v>
      </c>
      <c r="H67" s="576"/>
      <c r="I67" s="576"/>
      <c r="J67" s="577"/>
      <c r="K67" s="582"/>
      <c r="L67" s="591"/>
      <c r="M67" s="569"/>
      <c r="N67" s="19">
        <f>SUM(G67,$K$63:$M$67)</f>
        <v>4928</v>
      </c>
    </row>
    <row r="68" spans="1:14" ht="27" customHeight="1">
      <c r="A68" s="486"/>
      <c r="B68" s="469"/>
      <c r="C68" s="473"/>
      <c r="D68" s="474"/>
      <c r="E68" s="433" t="s">
        <v>16</v>
      </c>
      <c r="F68" s="20">
        <v>1</v>
      </c>
      <c r="G68" s="575">
        <f>ROUNDUP(($V$15+$Y$15+$Z$15+$AA$15)*$Y$28*$Y$32,0)</f>
        <v>1845</v>
      </c>
      <c r="H68" s="576"/>
      <c r="I68" s="576"/>
      <c r="J68" s="577"/>
      <c r="K68" s="581">
        <v>1880</v>
      </c>
      <c r="L68" s="570">
        <v>1640</v>
      </c>
      <c r="M68" s="573">
        <v>100</v>
      </c>
      <c r="N68" s="19">
        <f>SUM(G68,$K$68:$M$72)</f>
        <v>5465</v>
      </c>
    </row>
    <row r="69" spans="1:14" ht="27" customHeight="1">
      <c r="A69" s="486"/>
      <c r="B69" s="469"/>
      <c r="C69" s="473"/>
      <c r="D69" s="474"/>
      <c r="E69" s="434"/>
      <c r="F69" s="18">
        <v>2</v>
      </c>
      <c r="G69" s="575">
        <f>ROUNDUP(($V$16+$Y$16+$Z$16+$AA$16)*$Y$28*$Y$32,0)</f>
        <v>2003</v>
      </c>
      <c r="H69" s="576"/>
      <c r="I69" s="576"/>
      <c r="J69" s="577"/>
      <c r="K69" s="581"/>
      <c r="L69" s="571"/>
      <c r="M69" s="568"/>
      <c r="N69" s="19">
        <f>SUM(G69,$K$68:$M$72)</f>
        <v>5623</v>
      </c>
    </row>
    <row r="70" spans="1:14" ht="27" customHeight="1">
      <c r="A70" s="486"/>
      <c r="B70" s="469"/>
      <c r="C70" s="473"/>
      <c r="D70" s="474"/>
      <c r="E70" s="434"/>
      <c r="F70" s="18">
        <v>3</v>
      </c>
      <c r="G70" s="575">
        <f>ROUNDUP(($V$17+$Y$17+$Z$17+$AA$17)*$Y$28*$Y$32,0)</f>
        <v>2141</v>
      </c>
      <c r="H70" s="576"/>
      <c r="I70" s="576"/>
      <c r="J70" s="577"/>
      <c r="K70" s="581"/>
      <c r="L70" s="571"/>
      <c r="M70" s="568"/>
      <c r="N70" s="19">
        <f>SUM(G70,$K$68:$M$72)</f>
        <v>5761</v>
      </c>
    </row>
    <row r="71" spans="1:14" ht="27" customHeight="1">
      <c r="A71" s="486"/>
      <c r="B71" s="469"/>
      <c r="C71" s="473"/>
      <c r="D71" s="474"/>
      <c r="E71" s="434"/>
      <c r="F71" s="18">
        <v>4</v>
      </c>
      <c r="G71" s="575">
        <f>ROUNDUP(($V$18+$Y$18+$Z$18+$AA$18)*$Y$28*$Y$32,0)</f>
        <v>2268</v>
      </c>
      <c r="H71" s="576"/>
      <c r="I71" s="576"/>
      <c r="J71" s="577"/>
      <c r="K71" s="581"/>
      <c r="L71" s="571"/>
      <c r="M71" s="568"/>
      <c r="N71" s="19">
        <f>SUM(G71,$K$68:$M$72)</f>
        <v>5888</v>
      </c>
    </row>
    <row r="72" spans="1:14" ht="27" customHeight="1" thickBot="1">
      <c r="A72" s="487"/>
      <c r="B72" s="470"/>
      <c r="C72" s="475"/>
      <c r="D72" s="476"/>
      <c r="E72" s="435"/>
      <c r="F72" s="21">
        <v>5</v>
      </c>
      <c r="G72" s="575">
        <f>ROUNDUP(($V$19+$Y$19+$Z$19+$AA$19)*$Y$28*$Y$32,0)</f>
        <v>2393</v>
      </c>
      <c r="H72" s="576"/>
      <c r="I72" s="576"/>
      <c r="J72" s="577"/>
      <c r="K72" s="582"/>
      <c r="L72" s="572"/>
      <c r="M72" s="574"/>
      <c r="N72" s="22">
        <f>SUM(G72,$K$68:$M$72)</f>
        <v>6013</v>
      </c>
    </row>
    <row r="73" spans="1:14" ht="27" customHeight="1">
      <c r="A73" s="485" t="s">
        <v>126</v>
      </c>
      <c r="B73" s="468" t="s">
        <v>13</v>
      </c>
      <c r="C73" s="471" t="s">
        <v>14</v>
      </c>
      <c r="D73" s="472"/>
      <c r="E73" s="424" t="s">
        <v>15</v>
      </c>
      <c r="F73" s="18">
        <v>1</v>
      </c>
      <c r="G73" s="585">
        <f>ROUNDUP(($V$10+$Y$10+$Z$10+$AA$10)*$Y$28*$Y$34,0)</f>
        <v>1010</v>
      </c>
      <c r="H73" s="586"/>
      <c r="I73" s="586"/>
      <c r="J73" s="587"/>
      <c r="K73" s="581">
        <v>1880</v>
      </c>
      <c r="L73" s="571">
        <v>370</v>
      </c>
      <c r="M73" s="568">
        <v>100</v>
      </c>
      <c r="N73" s="23">
        <f>SUM(G73,$K$73:$M$77)</f>
        <v>3360</v>
      </c>
    </row>
    <row r="74" spans="1:14" ht="27" customHeight="1">
      <c r="A74" s="486"/>
      <c r="B74" s="469"/>
      <c r="C74" s="473"/>
      <c r="D74" s="474"/>
      <c r="E74" s="425"/>
      <c r="F74" s="18">
        <v>2</v>
      </c>
      <c r="G74" s="575">
        <f>ROUNDUP(($V$11+$Y$11+$Z$11+$AA$11)*$Y$28*$Y$34,0)</f>
        <v>1094</v>
      </c>
      <c r="H74" s="576"/>
      <c r="I74" s="576"/>
      <c r="J74" s="577"/>
      <c r="K74" s="581"/>
      <c r="L74" s="571"/>
      <c r="M74" s="568"/>
      <c r="N74" s="19">
        <f>SUM(G74,$K$73:$M$77)</f>
        <v>3444</v>
      </c>
    </row>
    <row r="75" spans="1:14" ht="27" customHeight="1">
      <c r="A75" s="486"/>
      <c r="B75" s="469"/>
      <c r="C75" s="473"/>
      <c r="D75" s="474"/>
      <c r="E75" s="425"/>
      <c r="F75" s="18">
        <v>3</v>
      </c>
      <c r="G75" s="575">
        <f>ROUNDUP(($V$12+$Y$12+$Z$12+$AA$12)*$Y$28*$Y$34,0)</f>
        <v>1162</v>
      </c>
      <c r="H75" s="576"/>
      <c r="I75" s="576"/>
      <c r="J75" s="577"/>
      <c r="K75" s="581"/>
      <c r="L75" s="571"/>
      <c r="M75" s="568"/>
      <c r="N75" s="19">
        <f>SUM(G75,$K$73:$M$77)</f>
        <v>3512</v>
      </c>
    </row>
    <row r="76" spans="1:14" ht="27" customHeight="1">
      <c r="A76" s="486"/>
      <c r="B76" s="469"/>
      <c r="C76" s="473"/>
      <c r="D76" s="474"/>
      <c r="E76" s="425"/>
      <c r="F76" s="18">
        <v>4</v>
      </c>
      <c r="G76" s="588">
        <f>ROUNDUP(($V$13+$Y$13+$Z$13+$AA$13)*$Y$28*$Y$34,0)</f>
        <v>1226</v>
      </c>
      <c r="H76" s="589"/>
      <c r="I76" s="589"/>
      <c r="J76" s="590"/>
      <c r="K76" s="581"/>
      <c r="L76" s="571"/>
      <c r="M76" s="568"/>
      <c r="N76" s="19">
        <f>SUM(G76,$K$73:$M$77)</f>
        <v>3576</v>
      </c>
    </row>
    <row r="77" spans="1:14" ht="27" customHeight="1">
      <c r="A77" s="486"/>
      <c r="B77" s="469"/>
      <c r="C77" s="473"/>
      <c r="D77" s="474"/>
      <c r="E77" s="426"/>
      <c r="F77" s="18">
        <v>5</v>
      </c>
      <c r="G77" s="575">
        <f>ROUNDUP(($V$14+$Y$14+$Z$14+$AA$14)*$Y$28*$Y$34,0)</f>
        <v>1289</v>
      </c>
      <c r="H77" s="576"/>
      <c r="I77" s="576"/>
      <c r="J77" s="577"/>
      <c r="K77" s="582"/>
      <c r="L77" s="591"/>
      <c r="M77" s="569"/>
      <c r="N77" s="19">
        <f>SUM(G77,$K$73:$M$77)</f>
        <v>3639</v>
      </c>
    </row>
    <row r="78" spans="1:14" ht="27" customHeight="1">
      <c r="A78" s="486"/>
      <c r="B78" s="469"/>
      <c r="C78" s="473"/>
      <c r="D78" s="474"/>
      <c r="E78" s="433" t="s">
        <v>16</v>
      </c>
      <c r="F78" s="18">
        <v>1</v>
      </c>
      <c r="G78" s="575">
        <f>ROUNDUP(($V$15+$Y$15+$Z$15+$AA$15)*$Y$28*$Y$34,0)</f>
        <v>923</v>
      </c>
      <c r="H78" s="576"/>
      <c r="I78" s="576"/>
      <c r="J78" s="577"/>
      <c r="K78" s="583">
        <v>1880</v>
      </c>
      <c r="L78" s="570">
        <v>1640</v>
      </c>
      <c r="M78" s="573">
        <v>100</v>
      </c>
      <c r="N78" s="19">
        <f>SUM(G78,$K$78:$M$82)</f>
        <v>4543</v>
      </c>
    </row>
    <row r="79" spans="1:14" ht="27" customHeight="1">
      <c r="A79" s="486"/>
      <c r="B79" s="469"/>
      <c r="C79" s="473"/>
      <c r="D79" s="474"/>
      <c r="E79" s="434"/>
      <c r="F79" s="18">
        <v>2</v>
      </c>
      <c r="G79" s="575">
        <f>ROUNDUP(($V$16+$Y$16+$Z$16+$AA$16)*$Y$28*$Y$34,0)</f>
        <v>1002</v>
      </c>
      <c r="H79" s="576"/>
      <c r="I79" s="576"/>
      <c r="J79" s="577"/>
      <c r="K79" s="581"/>
      <c r="L79" s="571"/>
      <c r="M79" s="568"/>
      <c r="N79" s="19">
        <f>SUM(G79,$K$78:$M$82)</f>
        <v>4622</v>
      </c>
    </row>
    <row r="80" spans="1:14" ht="27" customHeight="1">
      <c r="A80" s="486"/>
      <c r="B80" s="469"/>
      <c r="C80" s="473"/>
      <c r="D80" s="474"/>
      <c r="E80" s="434"/>
      <c r="F80" s="18">
        <v>3</v>
      </c>
      <c r="G80" s="575">
        <f>ROUNDUP(($V$17+$Y$17+$Z$17+$AA$17)*$Y$28*$Y$34,0)</f>
        <v>1071</v>
      </c>
      <c r="H80" s="576"/>
      <c r="I80" s="576"/>
      <c r="J80" s="577"/>
      <c r="K80" s="581"/>
      <c r="L80" s="571"/>
      <c r="M80" s="568"/>
      <c r="N80" s="19">
        <f>SUM(G80,$K$78:$M$82)</f>
        <v>4691</v>
      </c>
    </row>
    <row r="81" spans="1:14" ht="27" customHeight="1">
      <c r="A81" s="486"/>
      <c r="B81" s="469"/>
      <c r="C81" s="473"/>
      <c r="D81" s="474"/>
      <c r="E81" s="434"/>
      <c r="F81" s="18">
        <v>4</v>
      </c>
      <c r="G81" s="575">
        <f>ROUNDUP(($V$18+$Y$18+$Z$18+$AA$18)*$Y$28*$Y$34,0)</f>
        <v>1134</v>
      </c>
      <c r="H81" s="576"/>
      <c r="I81" s="576"/>
      <c r="J81" s="577"/>
      <c r="K81" s="581"/>
      <c r="L81" s="571"/>
      <c r="M81" s="568"/>
      <c r="N81" s="19">
        <f>SUM(G81,$K$78:$M$82)</f>
        <v>4754</v>
      </c>
    </row>
    <row r="82" spans="1:14" ht="27" customHeight="1" thickBot="1">
      <c r="A82" s="487"/>
      <c r="B82" s="470"/>
      <c r="C82" s="475"/>
      <c r="D82" s="476"/>
      <c r="E82" s="435"/>
      <c r="F82" s="21">
        <v>5</v>
      </c>
      <c r="G82" s="578">
        <f>ROUNDUP(($V$19+$Y$19+$Z$19+$AA$19)*$Y$28*$Y$34,0)</f>
        <v>1197</v>
      </c>
      <c r="H82" s="579"/>
      <c r="I82" s="579"/>
      <c r="J82" s="580"/>
      <c r="K82" s="584"/>
      <c r="L82" s="572"/>
      <c r="M82" s="574"/>
      <c r="N82" s="22">
        <f>SUM(G82,$K$78:$M$82)</f>
        <v>4817</v>
      </c>
    </row>
    <row r="83" spans="1:14" ht="14.25" customHeight="1">
      <c r="A83" s="149"/>
      <c r="B83" s="94"/>
      <c r="C83" s="149"/>
      <c r="D83" s="149"/>
      <c r="E83" s="149"/>
      <c r="F83" s="236"/>
      <c r="G83" s="245"/>
      <c r="H83" s="245"/>
      <c r="I83" s="245"/>
      <c r="J83" s="245"/>
      <c r="K83" s="247"/>
      <c r="L83" s="247"/>
      <c r="M83" s="247"/>
      <c r="N83" s="248"/>
    </row>
    <row r="84" spans="1:14" ht="14.25">
      <c r="A84" s="11" t="s">
        <v>462</v>
      </c>
      <c r="B84" s="250"/>
      <c r="C84" s="149"/>
      <c r="D84" s="149"/>
      <c r="E84" s="149"/>
      <c r="F84" s="236"/>
      <c r="G84" s="245"/>
      <c r="H84" s="245"/>
      <c r="I84" s="245"/>
      <c r="J84" s="245"/>
      <c r="K84" s="247"/>
      <c r="L84" s="247"/>
      <c r="M84" s="247"/>
      <c r="N84" s="248"/>
    </row>
    <row r="85" spans="1:14" ht="14.25">
      <c r="A85" s="11"/>
      <c r="B85" s="184" t="s">
        <v>507</v>
      </c>
      <c r="C85" s="149"/>
      <c r="D85" s="149"/>
      <c r="E85" s="149"/>
      <c r="F85" s="236"/>
      <c r="G85" s="245"/>
      <c r="H85" s="245"/>
      <c r="I85" s="245"/>
      <c r="J85" s="245"/>
      <c r="K85" s="247"/>
      <c r="L85" s="247"/>
      <c r="M85" s="247"/>
      <c r="N85" s="248"/>
    </row>
    <row r="86" spans="1:14" ht="14.25">
      <c r="A86" s="11"/>
      <c r="B86" s="11" t="s">
        <v>303</v>
      </c>
      <c r="C86" s="149"/>
      <c r="D86" s="149"/>
      <c r="E86" s="149"/>
      <c r="F86" s="236"/>
      <c r="G86" s="245"/>
      <c r="H86" s="245"/>
      <c r="I86" s="245"/>
      <c r="J86" s="245"/>
      <c r="K86" s="247"/>
      <c r="L86" s="247"/>
      <c r="M86" s="247"/>
      <c r="N86" s="248"/>
    </row>
    <row r="87" spans="1:14" ht="19.5" customHeight="1">
      <c r="A87" s="12" t="s">
        <v>460</v>
      </c>
      <c r="B87" s="246"/>
      <c r="C87" s="149"/>
      <c r="D87" s="149"/>
      <c r="E87" s="149"/>
      <c r="F87" s="236"/>
      <c r="G87" s="245"/>
      <c r="H87" s="245"/>
      <c r="I87" s="245"/>
      <c r="J87" s="245"/>
      <c r="K87" s="247"/>
      <c r="L87" s="247"/>
      <c r="M87" s="247"/>
      <c r="N87" s="248"/>
    </row>
    <row r="88" spans="1:14" ht="17.25">
      <c r="A88" s="24"/>
      <c r="B88" s="11" t="s">
        <v>86</v>
      </c>
      <c r="C88" s="149"/>
      <c r="D88" s="149"/>
      <c r="E88" s="149"/>
      <c r="F88" s="236"/>
      <c r="G88" s="245"/>
      <c r="H88" s="245"/>
      <c r="I88" s="245"/>
      <c r="J88" s="245"/>
      <c r="K88" s="247"/>
      <c r="L88" s="247"/>
      <c r="M88" s="247"/>
      <c r="N88" s="248"/>
    </row>
    <row r="89" spans="1:14" ht="17.25">
      <c r="A89" s="11" t="s">
        <v>22</v>
      </c>
      <c r="B89" s="24"/>
      <c r="C89" s="149"/>
      <c r="D89" s="149"/>
      <c r="E89" s="149"/>
      <c r="F89" s="236"/>
      <c r="G89" s="245"/>
      <c r="H89" s="245"/>
      <c r="I89" s="245"/>
      <c r="J89" s="245"/>
      <c r="K89" s="247"/>
      <c r="L89" s="247"/>
      <c r="M89" s="247"/>
      <c r="N89" s="248"/>
    </row>
    <row r="90" spans="1:14" ht="14.25">
      <c r="A90" s="11" t="s">
        <v>302</v>
      </c>
      <c r="B90" s="246"/>
      <c r="C90" s="149"/>
      <c r="D90" s="149"/>
      <c r="E90" s="149"/>
      <c r="F90" s="236"/>
      <c r="G90" s="245"/>
      <c r="H90" s="245"/>
      <c r="I90" s="245"/>
      <c r="J90" s="245"/>
      <c r="K90" s="247"/>
      <c r="L90" s="247"/>
      <c r="M90" s="247"/>
      <c r="N90" s="248"/>
    </row>
    <row r="91" spans="1:14" ht="14.25">
      <c r="A91" s="11"/>
      <c r="B91" s="246"/>
      <c r="C91" s="149"/>
      <c r="D91" s="149"/>
      <c r="E91" s="149"/>
      <c r="F91" s="236"/>
      <c r="G91" s="245"/>
      <c r="H91" s="245"/>
      <c r="I91" s="245"/>
      <c r="J91" s="245"/>
      <c r="K91" s="247"/>
      <c r="L91" s="247"/>
      <c r="M91" s="247"/>
      <c r="N91" s="248"/>
    </row>
    <row r="92" spans="1:14" ht="14.25">
      <c r="A92" s="246"/>
      <c r="B92" s="94"/>
      <c r="C92" s="149"/>
      <c r="D92" s="149"/>
      <c r="E92" s="149"/>
      <c r="F92" s="236"/>
      <c r="G92" s="245"/>
      <c r="H92" s="245"/>
      <c r="I92" s="245"/>
      <c r="J92" s="245"/>
      <c r="K92" s="247"/>
      <c r="L92" s="247"/>
      <c r="M92" s="247"/>
      <c r="N92" s="248"/>
    </row>
    <row r="93" spans="1:14" ht="14.25">
      <c r="A93" s="246"/>
      <c r="B93" s="94"/>
      <c r="C93" s="149"/>
      <c r="D93" s="149"/>
      <c r="E93" s="149"/>
      <c r="F93" s="236"/>
      <c r="G93" s="245"/>
      <c r="H93" s="245"/>
      <c r="I93" s="245"/>
      <c r="J93" s="245"/>
      <c r="K93" s="247"/>
      <c r="L93" s="247"/>
      <c r="M93" s="247"/>
      <c r="N93" s="248"/>
    </row>
    <row r="94" spans="1:14" ht="14.25">
      <c r="A94" s="246"/>
      <c r="B94" s="94"/>
      <c r="C94" s="149"/>
      <c r="D94" s="149"/>
      <c r="E94" s="149"/>
      <c r="F94" s="236"/>
      <c r="G94" s="245"/>
      <c r="H94" s="245"/>
      <c r="I94" s="245"/>
      <c r="J94" s="245"/>
      <c r="K94" s="247"/>
      <c r="L94" s="247"/>
      <c r="M94" s="247"/>
      <c r="N94" s="248"/>
    </row>
    <row r="95" spans="1:14" ht="14.25">
      <c r="A95" s="246"/>
      <c r="B95" s="94"/>
      <c r="C95" s="149"/>
      <c r="D95" s="149"/>
      <c r="E95" s="149"/>
      <c r="F95" s="236"/>
      <c r="G95" s="245"/>
      <c r="H95" s="245"/>
      <c r="I95" s="245"/>
      <c r="J95" s="245"/>
      <c r="K95" s="247"/>
      <c r="L95" s="247"/>
      <c r="M95" s="247"/>
      <c r="N95" s="248"/>
    </row>
    <row r="96" spans="1:14" ht="14.25">
      <c r="A96" s="246"/>
      <c r="B96" s="94"/>
      <c r="C96" s="149"/>
      <c r="D96" s="149"/>
      <c r="E96" s="149"/>
      <c r="F96" s="236"/>
      <c r="G96" s="245"/>
      <c r="H96" s="245"/>
      <c r="I96" s="245"/>
      <c r="J96" s="245"/>
      <c r="K96" s="247"/>
      <c r="L96" s="247"/>
      <c r="M96" s="247"/>
      <c r="N96" s="248"/>
    </row>
    <row r="97" spans="1:14" ht="14.25">
      <c r="A97" s="246"/>
      <c r="B97" s="94"/>
      <c r="C97" s="149"/>
      <c r="D97" s="149"/>
      <c r="E97" s="149"/>
      <c r="F97" s="236"/>
      <c r="G97" s="245"/>
      <c r="H97" s="245"/>
      <c r="I97" s="245"/>
      <c r="J97" s="245"/>
      <c r="K97" s="247"/>
      <c r="L97" s="247"/>
      <c r="M97" s="247"/>
      <c r="N97" s="248"/>
    </row>
    <row r="98" spans="1:14" ht="14.25">
      <c r="A98" s="246"/>
      <c r="B98" s="94"/>
      <c r="C98" s="149"/>
      <c r="D98" s="149"/>
      <c r="E98" s="149"/>
      <c r="F98" s="236"/>
      <c r="G98" s="245"/>
      <c r="H98" s="245"/>
      <c r="I98" s="245"/>
      <c r="J98" s="245"/>
      <c r="K98" s="247"/>
      <c r="L98" s="247"/>
      <c r="M98" s="247"/>
      <c r="N98" s="248"/>
    </row>
    <row r="99" spans="1:14" ht="14.25">
      <c r="A99" s="246"/>
      <c r="B99" s="94"/>
      <c r="C99" s="149"/>
      <c r="D99" s="149"/>
      <c r="E99" s="149"/>
      <c r="F99" s="236"/>
      <c r="G99" s="245"/>
      <c r="H99" s="245"/>
      <c r="I99" s="245"/>
      <c r="J99" s="245"/>
      <c r="K99" s="247"/>
      <c r="L99" s="247"/>
      <c r="M99" s="247"/>
      <c r="N99" s="248"/>
    </row>
    <row r="100" spans="1:14" ht="14.25">
      <c r="A100" s="246"/>
      <c r="B100" s="94"/>
      <c r="C100" s="149"/>
      <c r="D100" s="149"/>
      <c r="E100" s="149"/>
      <c r="F100" s="236"/>
      <c r="G100" s="245"/>
      <c r="H100" s="245"/>
      <c r="I100" s="245"/>
      <c r="J100" s="245"/>
      <c r="K100" s="247"/>
      <c r="L100" s="247"/>
      <c r="M100" s="247"/>
      <c r="N100" s="248"/>
    </row>
    <row r="101" spans="1:14" ht="14.25" customHeight="1">
      <c r="A101" s="24"/>
      <c r="B101" s="24"/>
      <c r="C101" s="24"/>
      <c r="D101" s="24"/>
      <c r="E101" s="24"/>
      <c r="F101" s="24"/>
      <c r="G101" s="24"/>
      <c r="H101" s="24"/>
      <c r="I101" s="1"/>
      <c r="J101" s="1"/>
      <c r="K101" s="5"/>
      <c r="L101" s="5"/>
      <c r="M101" s="25"/>
      <c r="N101" s="25"/>
    </row>
    <row r="102" spans="10:14" ht="14.25">
      <c r="J102" s="5" t="s">
        <v>91</v>
      </c>
      <c r="K102" s="5"/>
      <c r="N102" s="13"/>
    </row>
    <row r="104" ht="13.5">
      <c r="N104" s="13"/>
    </row>
    <row r="106" ht="14.25" customHeight="1"/>
    <row r="111" ht="14.25" customHeight="1"/>
    <row r="116" ht="14.25" customHeight="1"/>
  </sheetData>
  <sheetProtection selectLockedCells="1" selectUnlockedCells="1"/>
  <mergeCells count="191">
    <mergeCell ref="G11:J11"/>
    <mergeCell ref="V34:X34"/>
    <mergeCell ref="L22:L26"/>
    <mergeCell ref="M12:M16"/>
    <mergeCell ref="G13:J13"/>
    <mergeCell ref="G14:J14"/>
    <mergeCell ref="G15:J15"/>
    <mergeCell ref="G16:J16"/>
    <mergeCell ref="K7:K11"/>
    <mergeCell ref="V8:X8"/>
    <mergeCell ref="B7:B26"/>
    <mergeCell ref="E12:E16"/>
    <mergeCell ref="G12:J12"/>
    <mergeCell ref="K12:K16"/>
    <mergeCell ref="L12:L16"/>
    <mergeCell ref="V24:X24"/>
    <mergeCell ref="L7:L11"/>
    <mergeCell ref="M7:M11"/>
    <mergeCell ref="G8:J8"/>
    <mergeCell ref="G9:J9"/>
    <mergeCell ref="V9:X9"/>
    <mergeCell ref="Y7:Y9"/>
    <mergeCell ref="Z7:Z9"/>
    <mergeCell ref="G38:J38"/>
    <mergeCell ref="M37:M41"/>
    <mergeCell ref="G31:J31"/>
    <mergeCell ref="L27:L31"/>
    <mergeCell ref="G32:J32"/>
    <mergeCell ref="G10:J10"/>
    <mergeCell ref="M32:M36"/>
    <mergeCell ref="C7:D16"/>
    <mergeCell ref="E7:E11"/>
    <mergeCell ref="V17:X17"/>
    <mergeCell ref="L42:L46"/>
    <mergeCell ref="G40:J40"/>
    <mergeCell ref="G41:J41"/>
    <mergeCell ref="G45:J45"/>
    <mergeCell ref="G7:J7"/>
    <mergeCell ref="M42:M46"/>
    <mergeCell ref="V7:X7"/>
    <mergeCell ref="B37:B46"/>
    <mergeCell ref="C37:C46"/>
    <mergeCell ref="D37:D46"/>
    <mergeCell ref="E37:E41"/>
    <mergeCell ref="G37:J37"/>
    <mergeCell ref="K37:K41"/>
    <mergeCell ref="G39:J39"/>
    <mergeCell ref="E32:E36"/>
    <mergeCell ref="L32:L36"/>
    <mergeCell ref="G44:J44"/>
    <mergeCell ref="G46:J46"/>
    <mergeCell ref="L37:L41"/>
    <mergeCell ref="G43:J43"/>
    <mergeCell ref="E42:E46"/>
    <mergeCell ref="G42:J42"/>
    <mergeCell ref="K42:K46"/>
    <mergeCell ref="M27:M31"/>
    <mergeCell ref="V19:X19"/>
    <mergeCell ref="B27:B36"/>
    <mergeCell ref="C27:D36"/>
    <mergeCell ref="E27:E31"/>
    <mergeCell ref="G27:J27"/>
    <mergeCell ref="K27:K31"/>
    <mergeCell ref="G28:J28"/>
    <mergeCell ref="G29:J29"/>
    <mergeCell ref="G30:J30"/>
    <mergeCell ref="G22:J22"/>
    <mergeCell ref="K22:K26"/>
    <mergeCell ref="K32:K36"/>
    <mergeCell ref="G33:J33"/>
    <mergeCell ref="G34:J34"/>
    <mergeCell ref="G35:J35"/>
    <mergeCell ref="G36:J36"/>
    <mergeCell ref="G20:J20"/>
    <mergeCell ref="P15:P19"/>
    <mergeCell ref="V32:X32"/>
    <mergeCell ref="V22:X22"/>
    <mergeCell ref="G23:J23"/>
    <mergeCell ref="G24:J24"/>
    <mergeCell ref="V28:X28"/>
    <mergeCell ref="G25:J25"/>
    <mergeCell ref="V30:X30"/>
    <mergeCell ref="M17:M21"/>
    <mergeCell ref="C17:D26"/>
    <mergeCell ref="E17:E21"/>
    <mergeCell ref="G17:J17"/>
    <mergeCell ref="K17:K21"/>
    <mergeCell ref="L17:L21"/>
    <mergeCell ref="G18:J18"/>
    <mergeCell ref="G19:J19"/>
    <mergeCell ref="G21:J21"/>
    <mergeCell ref="G26:J26"/>
    <mergeCell ref="E22:E26"/>
    <mergeCell ref="Q7:Q9"/>
    <mergeCell ref="M22:M26"/>
    <mergeCell ref="R7:R9"/>
    <mergeCell ref="S7:S9"/>
    <mergeCell ref="T7:T9"/>
    <mergeCell ref="S10:S19"/>
    <mergeCell ref="T10:T19"/>
    <mergeCell ref="P10:P14"/>
    <mergeCell ref="P7:P9"/>
    <mergeCell ref="U10:U19"/>
    <mergeCell ref="V10:X10"/>
    <mergeCell ref="V16:X16"/>
    <mergeCell ref="V18:X18"/>
    <mergeCell ref="U7:U9"/>
    <mergeCell ref="V12:X12"/>
    <mergeCell ref="V13:X13"/>
    <mergeCell ref="V11:X11"/>
    <mergeCell ref="V14:X14"/>
    <mergeCell ref="V15:X15"/>
    <mergeCell ref="G6:J6"/>
    <mergeCell ref="E1:F1"/>
    <mergeCell ref="B3:F3"/>
    <mergeCell ref="G3:K3"/>
    <mergeCell ref="G5:J5"/>
    <mergeCell ref="K5:L5"/>
    <mergeCell ref="B6:D6"/>
    <mergeCell ref="L53:L57"/>
    <mergeCell ref="B49:F49"/>
    <mergeCell ref="G49:K49"/>
    <mergeCell ref="G51:J51"/>
    <mergeCell ref="K51:L51"/>
    <mergeCell ref="B52:D52"/>
    <mergeCell ref="G52:J52"/>
    <mergeCell ref="A53:A62"/>
    <mergeCell ref="B53:B62"/>
    <mergeCell ref="C53:D62"/>
    <mergeCell ref="E53:E57"/>
    <mergeCell ref="G53:J53"/>
    <mergeCell ref="K53:K57"/>
    <mergeCell ref="G59:J59"/>
    <mergeCell ref="G60:J60"/>
    <mergeCell ref="G61:J61"/>
    <mergeCell ref="G62:J62"/>
    <mergeCell ref="M53:M57"/>
    <mergeCell ref="G54:J54"/>
    <mergeCell ref="G55:J55"/>
    <mergeCell ref="G56:J56"/>
    <mergeCell ref="G57:J57"/>
    <mergeCell ref="E58:E62"/>
    <mergeCell ref="G58:J58"/>
    <mergeCell ref="K58:K62"/>
    <mergeCell ref="L58:L62"/>
    <mergeCell ref="M58:M62"/>
    <mergeCell ref="A63:A72"/>
    <mergeCell ref="B63:B72"/>
    <mergeCell ref="C63:D72"/>
    <mergeCell ref="E63:E67"/>
    <mergeCell ref="G63:J63"/>
    <mergeCell ref="E68:E72"/>
    <mergeCell ref="K63:K67"/>
    <mergeCell ref="L63:L67"/>
    <mergeCell ref="M63:M67"/>
    <mergeCell ref="G64:J64"/>
    <mergeCell ref="G65:J65"/>
    <mergeCell ref="G67:J67"/>
    <mergeCell ref="L68:L72"/>
    <mergeCell ref="L73:L77"/>
    <mergeCell ref="M68:M72"/>
    <mergeCell ref="G69:J69"/>
    <mergeCell ref="G70:J70"/>
    <mergeCell ref="G71:J71"/>
    <mergeCell ref="G72:J72"/>
    <mergeCell ref="A7:A46"/>
    <mergeCell ref="E78:E82"/>
    <mergeCell ref="G78:J78"/>
    <mergeCell ref="G68:J68"/>
    <mergeCell ref="G66:J66"/>
    <mergeCell ref="K68:K72"/>
    <mergeCell ref="G74:J74"/>
    <mergeCell ref="G75:J75"/>
    <mergeCell ref="G76:J76"/>
    <mergeCell ref="G77:J77"/>
    <mergeCell ref="K78:K82"/>
    <mergeCell ref="B73:B82"/>
    <mergeCell ref="C73:D82"/>
    <mergeCell ref="E73:E77"/>
    <mergeCell ref="G73:J73"/>
    <mergeCell ref="A73:A82"/>
    <mergeCell ref="AA7:AA9"/>
    <mergeCell ref="V26:X26"/>
    <mergeCell ref="M73:M77"/>
    <mergeCell ref="L78:L82"/>
    <mergeCell ref="M78:M82"/>
    <mergeCell ref="G79:J79"/>
    <mergeCell ref="G80:J80"/>
    <mergeCell ref="G81:J81"/>
    <mergeCell ref="G82:J82"/>
    <mergeCell ref="K73:K77"/>
  </mergeCells>
  <printOptions horizontalCentered="1" verticalCentered="1"/>
  <pageMargins left="0.11811023622047245" right="0.1968503937007874" top="0.07874015748031496" bottom="0.07874015748031496" header="0.07874015748031496" footer="0.07874015748031496"/>
  <pageSetup horizontalDpi="600" verticalDpi="600" orientation="portrait" paperSize="9" scale="71" r:id="rId1"/>
  <rowBreaks count="1" manualBreakCount="1">
    <brk id="47" max="13" man="1"/>
  </rowBreaks>
</worksheet>
</file>

<file path=xl/worksheets/sheet3.xml><?xml version="1.0" encoding="utf-8"?>
<worksheet xmlns="http://schemas.openxmlformats.org/spreadsheetml/2006/main" xmlns:r="http://schemas.openxmlformats.org/officeDocument/2006/relationships">
  <sheetPr>
    <tabColor indexed="44"/>
  </sheetPr>
  <dimension ref="A2:AF126"/>
  <sheetViews>
    <sheetView view="pageBreakPreview" zoomScale="96" zoomScaleSheetLayoutView="96" zoomScalePageLayoutView="0" workbookViewId="0" topLeftCell="A16">
      <selection activeCell="F126" sqref="F126"/>
    </sheetView>
  </sheetViews>
  <sheetFormatPr defaultColWidth="9.00390625" defaultRowHeight="13.5"/>
  <cols>
    <col min="1" max="3" width="2.625" style="0" customWidth="1"/>
    <col min="4" max="4" width="4.125" style="13" customWidth="1"/>
    <col min="5" max="5" width="4.375" style="0" customWidth="1"/>
    <col min="6" max="7" width="5.125" style="0" customWidth="1"/>
    <col min="8" max="8" width="4.125" style="0" customWidth="1"/>
    <col min="9" max="9" width="11.50390625" style="0" customWidth="1"/>
    <col min="10" max="13" width="10.125" style="0" customWidth="1"/>
    <col min="14" max="17" width="12.00390625" style="0" customWidth="1"/>
    <col min="18" max="18" width="8.625" style="0" customWidth="1"/>
    <col min="19" max="19" width="0.12890625" style="0" hidden="1" customWidth="1"/>
    <col min="20" max="20" width="4.125" style="0" customWidth="1"/>
    <col min="21" max="21" width="3.25390625" style="0" customWidth="1"/>
    <col min="23" max="24" width="7.125" style="0" customWidth="1"/>
    <col min="25" max="26" width="7.50390625" style="0" customWidth="1"/>
    <col min="27" max="28" width="7.75390625" style="0" customWidth="1"/>
    <col min="29" max="29" width="23.375" style="0" customWidth="1"/>
  </cols>
  <sheetData>
    <row r="2" spans="7:18" ht="17.25" customHeight="1">
      <c r="G2" s="17" t="s">
        <v>0</v>
      </c>
      <c r="J2" s="15" t="s">
        <v>25</v>
      </c>
      <c r="K2" s="15"/>
      <c r="L2" s="15"/>
      <c r="M2" s="15"/>
      <c r="Q2" s="111"/>
      <c r="R2" s="111"/>
    </row>
    <row r="3" spans="7:18" ht="15" customHeight="1" thickBot="1">
      <c r="G3" s="25"/>
      <c r="J3" s="26"/>
      <c r="K3" s="26"/>
      <c r="L3" s="26"/>
      <c r="M3" s="26"/>
      <c r="O3" s="253" t="s">
        <v>473</v>
      </c>
      <c r="Q3" s="111"/>
      <c r="R3" s="111"/>
    </row>
    <row r="4" spans="6:18" ht="14.25" customHeight="1" thickBot="1">
      <c r="F4" s="730" t="s">
        <v>26</v>
      </c>
      <c r="G4" s="731"/>
      <c r="H4" s="731"/>
      <c r="I4" s="731"/>
      <c r="J4" s="732"/>
      <c r="K4" s="6"/>
      <c r="L4" s="17" t="s">
        <v>3</v>
      </c>
      <c r="M4" s="6"/>
      <c r="Q4" s="111"/>
      <c r="R4" s="111"/>
    </row>
    <row r="5" spans="6:13" ht="12" customHeight="1" thickBot="1">
      <c r="F5" s="6"/>
      <c r="G5" s="6"/>
      <c r="H5" s="6"/>
      <c r="I5" s="6"/>
      <c r="J5" s="6"/>
      <c r="K5" s="6"/>
      <c r="L5" s="6"/>
      <c r="M5" s="6"/>
    </row>
    <row r="6" spans="10:16" ht="12.75" customHeight="1" thickBot="1">
      <c r="J6" s="445" t="s">
        <v>72</v>
      </c>
      <c r="K6" s="446"/>
      <c r="L6" s="446"/>
      <c r="M6" s="447"/>
      <c r="N6" s="445" t="s">
        <v>76</v>
      </c>
      <c r="O6" s="447"/>
      <c r="P6" s="351" t="s">
        <v>71</v>
      </c>
    </row>
    <row r="7" spans="5:17" ht="12" customHeight="1">
      <c r="E7" s="506" t="s">
        <v>4</v>
      </c>
      <c r="F7" s="507"/>
      <c r="G7" s="610"/>
      <c r="H7" s="457" t="s">
        <v>5</v>
      </c>
      <c r="I7" s="460" t="s">
        <v>6</v>
      </c>
      <c r="J7" s="663" t="s">
        <v>144</v>
      </c>
      <c r="K7" s="664"/>
      <c r="L7" s="664"/>
      <c r="M7" s="665"/>
      <c r="N7" s="460" t="s">
        <v>27</v>
      </c>
      <c r="O7" s="457" t="s">
        <v>10</v>
      </c>
      <c r="P7" s="723" t="s">
        <v>11</v>
      </c>
      <c r="Q7" s="727" t="s">
        <v>12</v>
      </c>
    </row>
    <row r="8" spans="5:17" ht="12" customHeight="1">
      <c r="E8" s="733"/>
      <c r="F8" s="734"/>
      <c r="G8" s="735"/>
      <c r="H8" s="458"/>
      <c r="I8" s="461"/>
      <c r="J8" s="666"/>
      <c r="K8" s="667"/>
      <c r="L8" s="667"/>
      <c r="M8" s="668"/>
      <c r="N8" s="461"/>
      <c r="O8" s="458"/>
      <c r="P8" s="724"/>
      <c r="Q8" s="728"/>
    </row>
    <row r="9" spans="5:17" ht="12" customHeight="1" thickBot="1">
      <c r="E9" s="736"/>
      <c r="F9" s="737"/>
      <c r="G9" s="738"/>
      <c r="H9" s="459"/>
      <c r="I9" s="462"/>
      <c r="J9" s="669"/>
      <c r="K9" s="670"/>
      <c r="L9" s="670"/>
      <c r="M9" s="671"/>
      <c r="N9" s="462"/>
      <c r="O9" s="459"/>
      <c r="P9" s="725"/>
      <c r="Q9" s="729"/>
    </row>
    <row r="10" spans="4:31" ht="21.75" customHeight="1" thickBot="1">
      <c r="D10" s="740" t="s">
        <v>297</v>
      </c>
      <c r="E10" s="545" t="s">
        <v>464</v>
      </c>
      <c r="F10" s="548" t="s">
        <v>472</v>
      </c>
      <c r="G10" s="549"/>
      <c r="H10" s="424" t="s">
        <v>15</v>
      </c>
      <c r="I10" s="457" t="s">
        <v>28</v>
      </c>
      <c r="J10" s="698">
        <f>ROUNDUP(($AC$14+$AD$14+$AE$14+$AF$14)*$AD$32*$AD$41,0)</f>
        <v>773</v>
      </c>
      <c r="K10" s="699"/>
      <c r="L10" s="699"/>
      <c r="M10" s="700"/>
      <c r="N10" s="716">
        <v>1300</v>
      </c>
      <c r="O10" s="739">
        <v>370</v>
      </c>
      <c r="P10" s="701">
        <v>100</v>
      </c>
      <c r="Q10" s="726">
        <f>SUM(J10,,$N$10:$P$15)</f>
        <v>2543</v>
      </c>
      <c r="X10" s="77"/>
      <c r="Y10" s="77"/>
      <c r="Z10" s="77"/>
      <c r="AA10" s="77"/>
      <c r="AB10" s="77"/>
      <c r="AC10" s="672" t="s">
        <v>72</v>
      </c>
      <c r="AD10" s="673"/>
      <c r="AE10" s="673"/>
    </row>
    <row r="11" spans="4:32" ht="21.75" customHeight="1">
      <c r="D11" s="486"/>
      <c r="E11" s="546"/>
      <c r="F11" s="550"/>
      <c r="G11" s="551"/>
      <c r="H11" s="425"/>
      <c r="I11" s="458"/>
      <c r="J11" s="692"/>
      <c r="K11" s="693"/>
      <c r="L11" s="693"/>
      <c r="M11" s="694"/>
      <c r="N11" s="709"/>
      <c r="O11" s="711"/>
      <c r="P11" s="702"/>
      <c r="Q11" s="703"/>
      <c r="W11" s="457" t="s">
        <v>5</v>
      </c>
      <c r="X11" s="460" t="s">
        <v>6</v>
      </c>
      <c r="Y11" s="625" t="s">
        <v>119</v>
      </c>
      <c r="Z11" s="679" t="s">
        <v>130</v>
      </c>
      <c r="AA11" s="678" t="s">
        <v>371</v>
      </c>
      <c r="AB11" s="617" t="s">
        <v>121</v>
      </c>
      <c r="AC11" s="258" t="s">
        <v>7</v>
      </c>
      <c r="AD11" s="460" t="s">
        <v>115</v>
      </c>
      <c r="AE11" s="463" t="s">
        <v>334</v>
      </c>
      <c r="AF11" s="643" t="s">
        <v>475</v>
      </c>
    </row>
    <row r="12" spans="4:32" ht="21.75" customHeight="1">
      <c r="D12" s="486"/>
      <c r="E12" s="546"/>
      <c r="F12" s="550"/>
      <c r="G12" s="551"/>
      <c r="H12" s="425"/>
      <c r="I12" s="458"/>
      <c r="J12" s="692"/>
      <c r="K12" s="693"/>
      <c r="L12" s="693"/>
      <c r="M12" s="694"/>
      <c r="N12" s="709"/>
      <c r="O12" s="711"/>
      <c r="P12" s="702"/>
      <c r="Q12" s="703"/>
      <c r="W12" s="458"/>
      <c r="X12" s="461"/>
      <c r="Y12" s="626"/>
      <c r="Z12" s="679"/>
      <c r="AA12" s="679"/>
      <c r="AB12" s="618"/>
      <c r="AC12" s="274" t="s">
        <v>8</v>
      </c>
      <c r="AD12" s="461"/>
      <c r="AE12" s="533"/>
      <c r="AF12" s="644"/>
    </row>
    <row r="13" spans="4:32" ht="21.75" customHeight="1" thickBot="1">
      <c r="D13" s="486"/>
      <c r="E13" s="546"/>
      <c r="F13" s="550"/>
      <c r="G13" s="551"/>
      <c r="H13" s="425"/>
      <c r="I13" s="706" t="s">
        <v>29</v>
      </c>
      <c r="J13" s="689">
        <f>ROUNDUP(($AC$16+$AD$16+$AE$16+$AF$16)*$AD$32*$AD$41,0)</f>
        <v>947</v>
      </c>
      <c r="K13" s="690"/>
      <c r="L13" s="690"/>
      <c r="M13" s="691"/>
      <c r="N13" s="709"/>
      <c r="O13" s="711"/>
      <c r="P13" s="702"/>
      <c r="Q13" s="703">
        <f>SUM(J13,,$N$10:$P$15)</f>
        <v>2717</v>
      </c>
      <c r="W13" s="459"/>
      <c r="X13" s="462"/>
      <c r="Y13" s="626"/>
      <c r="Z13" s="679"/>
      <c r="AA13" s="680"/>
      <c r="AB13" s="687"/>
      <c r="AC13" s="261" t="s">
        <v>95</v>
      </c>
      <c r="AD13" s="462"/>
      <c r="AE13" s="534"/>
      <c r="AF13" s="645"/>
    </row>
    <row r="14" spans="4:32" ht="21.75" customHeight="1">
      <c r="D14" s="486"/>
      <c r="E14" s="546"/>
      <c r="F14" s="550"/>
      <c r="G14" s="551"/>
      <c r="H14" s="425"/>
      <c r="I14" s="458"/>
      <c r="J14" s="692"/>
      <c r="K14" s="693"/>
      <c r="L14" s="693"/>
      <c r="M14" s="694"/>
      <c r="N14" s="709"/>
      <c r="O14" s="711"/>
      <c r="P14" s="702"/>
      <c r="Q14" s="703"/>
      <c r="W14" s="522" t="s">
        <v>15</v>
      </c>
      <c r="X14" s="530">
        <v>1</v>
      </c>
      <c r="Y14" s="530">
        <v>658</v>
      </c>
      <c r="Z14" s="629"/>
      <c r="AA14" s="614">
        <v>22</v>
      </c>
      <c r="AB14" s="614">
        <v>24</v>
      </c>
      <c r="AC14" s="681">
        <f>+$Y$14+$Z$14+$AA$14+$AB$14</f>
        <v>704</v>
      </c>
      <c r="AD14" s="427">
        <f>ROUND($AC$14*$AD$23,0)</f>
        <v>27</v>
      </c>
      <c r="AE14" s="427">
        <f>ROUND($AC$14*$AD$26,0)</f>
        <v>15</v>
      </c>
      <c r="AF14" s="646">
        <f>ROUND($AC$14*$AD$29,0)</f>
        <v>6</v>
      </c>
    </row>
    <row r="15" spans="4:32" ht="21.75" customHeight="1">
      <c r="D15" s="486"/>
      <c r="E15" s="546"/>
      <c r="F15" s="550"/>
      <c r="G15" s="551"/>
      <c r="H15" s="426"/>
      <c r="I15" s="458"/>
      <c r="J15" s="692"/>
      <c r="K15" s="693"/>
      <c r="L15" s="693"/>
      <c r="M15" s="694"/>
      <c r="N15" s="709"/>
      <c r="O15" s="711"/>
      <c r="P15" s="702"/>
      <c r="Q15" s="703"/>
      <c r="W15" s="523"/>
      <c r="X15" s="531"/>
      <c r="Y15" s="531"/>
      <c r="Z15" s="630"/>
      <c r="AA15" s="615"/>
      <c r="AB15" s="615"/>
      <c r="AC15" s="682"/>
      <c r="AD15" s="657"/>
      <c r="AE15" s="657"/>
      <c r="AF15" s="647"/>
    </row>
    <row r="16" spans="4:32" ht="21.75" customHeight="1">
      <c r="D16" s="486"/>
      <c r="E16" s="546"/>
      <c r="F16" s="550"/>
      <c r="G16" s="551"/>
      <c r="H16" s="433" t="s">
        <v>16</v>
      </c>
      <c r="I16" s="706" t="s">
        <v>28</v>
      </c>
      <c r="J16" s="689">
        <f>ROUNDUP(($AC$18+$AD$18+$AE$18+$AF$18)*$AD$32*$AD$41,0)</f>
        <v>730</v>
      </c>
      <c r="K16" s="690"/>
      <c r="L16" s="690"/>
      <c r="M16" s="691"/>
      <c r="N16" s="709">
        <v>1300</v>
      </c>
      <c r="O16" s="709">
        <v>1310</v>
      </c>
      <c r="P16" s="702">
        <v>100</v>
      </c>
      <c r="Q16" s="703">
        <f>SUM(J16,,$N$16:$P$21)</f>
        <v>3440</v>
      </c>
      <c r="W16" s="523"/>
      <c r="X16" s="676">
        <v>2</v>
      </c>
      <c r="Y16" s="676">
        <v>817</v>
      </c>
      <c r="Z16" s="630"/>
      <c r="AA16" s="615"/>
      <c r="AB16" s="615"/>
      <c r="AC16" s="683">
        <f>+$Y$16+$Z$14+$AA$14+$AB$14</f>
        <v>863</v>
      </c>
      <c r="AD16" s="619">
        <f>ROUND($AC$16*$AD$23,0)</f>
        <v>34</v>
      </c>
      <c r="AE16" s="619">
        <f>ROUND($AC$16*$AD$26,0)</f>
        <v>18</v>
      </c>
      <c r="AF16" s="648">
        <f>ROUND($AC$16*$AD$29,0)</f>
        <v>7</v>
      </c>
    </row>
    <row r="17" spans="4:32" ht="21.75" customHeight="1">
      <c r="D17" s="486"/>
      <c r="E17" s="546"/>
      <c r="F17" s="550"/>
      <c r="G17" s="551"/>
      <c r="H17" s="434"/>
      <c r="I17" s="458"/>
      <c r="J17" s="692"/>
      <c r="K17" s="693"/>
      <c r="L17" s="693"/>
      <c r="M17" s="694"/>
      <c r="N17" s="709"/>
      <c r="O17" s="709"/>
      <c r="P17" s="702"/>
      <c r="Q17" s="703"/>
      <c r="W17" s="688"/>
      <c r="X17" s="676"/>
      <c r="Y17" s="676"/>
      <c r="Z17" s="630"/>
      <c r="AA17" s="615"/>
      <c r="AB17" s="615"/>
      <c r="AC17" s="682"/>
      <c r="AD17" s="657"/>
      <c r="AE17" s="657"/>
      <c r="AF17" s="647"/>
    </row>
    <row r="18" spans="4:32" ht="21.75" customHeight="1">
      <c r="D18" s="486"/>
      <c r="E18" s="546"/>
      <c r="F18" s="550"/>
      <c r="G18" s="551"/>
      <c r="H18" s="434"/>
      <c r="I18" s="708"/>
      <c r="J18" s="695"/>
      <c r="K18" s="696"/>
      <c r="L18" s="696"/>
      <c r="M18" s="697"/>
      <c r="N18" s="709"/>
      <c r="O18" s="709"/>
      <c r="P18" s="702"/>
      <c r="Q18" s="703"/>
      <c r="W18" s="685" t="s">
        <v>16</v>
      </c>
      <c r="X18" s="676">
        <v>1</v>
      </c>
      <c r="Y18" s="676">
        <v>619</v>
      </c>
      <c r="Z18" s="630"/>
      <c r="AA18" s="615"/>
      <c r="AB18" s="615"/>
      <c r="AC18" s="683">
        <f>$Y$18+$Z$14+$AA$14+$AB$14</f>
        <v>665</v>
      </c>
      <c r="AD18" s="619">
        <f>ROUND($AC$18*$AD$23,0)</f>
        <v>26</v>
      </c>
      <c r="AE18" s="619">
        <f>ROUND($AC$18*$AD$26,0)</f>
        <v>14</v>
      </c>
      <c r="AF18" s="648">
        <f>ROUND($AC$18*$AD$29,0)</f>
        <v>5</v>
      </c>
    </row>
    <row r="19" spans="4:32" ht="21.75" customHeight="1">
      <c r="D19" s="486"/>
      <c r="E19" s="546"/>
      <c r="F19" s="550"/>
      <c r="G19" s="551"/>
      <c r="H19" s="434"/>
      <c r="I19" s="706" t="s">
        <v>29</v>
      </c>
      <c r="J19" s="692">
        <f>ROUNDUP(($AC$20+$AD$20+$AE$20+$AF$20)*$AD$32*$AD$41,0)</f>
        <v>887</v>
      </c>
      <c r="K19" s="693"/>
      <c r="L19" s="693"/>
      <c r="M19" s="694"/>
      <c r="N19" s="709"/>
      <c r="O19" s="709"/>
      <c r="P19" s="702"/>
      <c r="Q19" s="703">
        <f>SUM(J19,,$N$16:$P$21)</f>
        <v>3597</v>
      </c>
      <c r="W19" s="469"/>
      <c r="X19" s="676"/>
      <c r="Y19" s="676"/>
      <c r="Z19" s="630"/>
      <c r="AA19" s="615"/>
      <c r="AB19" s="615"/>
      <c r="AC19" s="682"/>
      <c r="AD19" s="658"/>
      <c r="AE19" s="658"/>
      <c r="AF19" s="649"/>
    </row>
    <row r="20" spans="4:32" ht="21.75" customHeight="1">
      <c r="D20" s="486"/>
      <c r="E20" s="546"/>
      <c r="F20" s="550"/>
      <c r="G20" s="551"/>
      <c r="H20" s="434"/>
      <c r="I20" s="458"/>
      <c r="J20" s="692"/>
      <c r="K20" s="693"/>
      <c r="L20" s="693"/>
      <c r="M20" s="694"/>
      <c r="N20" s="709"/>
      <c r="O20" s="709"/>
      <c r="P20" s="702"/>
      <c r="Q20" s="703"/>
      <c r="W20" s="469"/>
      <c r="X20" s="676">
        <v>2</v>
      </c>
      <c r="Y20" s="676">
        <v>762</v>
      </c>
      <c r="Z20" s="630"/>
      <c r="AA20" s="615"/>
      <c r="AB20" s="615"/>
      <c r="AC20" s="683">
        <f>+$Y$20+$Z$14+$AA$14+$AB$14</f>
        <v>808</v>
      </c>
      <c r="AD20" s="619">
        <f>ROUND($AC$20*$AD$23,0)</f>
        <v>32</v>
      </c>
      <c r="AE20" s="619">
        <f>ROUND($AC$20*$AD$26,0)</f>
        <v>17</v>
      </c>
      <c r="AF20" s="648">
        <f>ROUND($AC$20*$AD$29,0)</f>
        <v>6</v>
      </c>
    </row>
    <row r="21" spans="4:32" ht="21.75" customHeight="1" thickBot="1">
      <c r="D21" s="486"/>
      <c r="E21" s="546"/>
      <c r="F21" s="552"/>
      <c r="G21" s="553"/>
      <c r="H21" s="435"/>
      <c r="I21" s="458"/>
      <c r="J21" s="695"/>
      <c r="K21" s="696"/>
      <c r="L21" s="696"/>
      <c r="M21" s="697"/>
      <c r="N21" s="710"/>
      <c r="O21" s="710"/>
      <c r="P21" s="705"/>
      <c r="Q21" s="707"/>
      <c r="W21" s="470"/>
      <c r="X21" s="686"/>
      <c r="Y21" s="677"/>
      <c r="Z21" s="631"/>
      <c r="AA21" s="616"/>
      <c r="AB21" s="616"/>
      <c r="AC21" s="684"/>
      <c r="AD21" s="439"/>
      <c r="AE21" s="439"/>
      <c r="AF21" s="650"/>
    </row>
    <row r="22" spans="4:30" ht="21.75" customHeight="1" thickBot="1">
      <c r="D22" s="486"/>
      <c r="E22" s="546"/>
      <c r="F22" s="548" t="s">
        <v>470</v>
      </c>
      <c r="G22" s="549"/>
      <c r="H22" s="424" t="s">
        <v>15</v>
      </c>
      <c r="I22" s="457" t="s">
        <v>28</v>
      </c>
      <c r="J22" s="698">
        <f>ROUNDUP(($AC$14+$AD$14+$AE$14+$AF$14)*$AD$32*$AD$41,0)</f>
        <v>773</v>
      </c>
      <c r="K22" s="699"/>
      <c r="L22" s="699"/>
      <c r="M22" s="700"/>
      <c r="N22" s="716">
        <v>1000</v>
      </c>
      <c r="O22" s="716">
        <v>370</v>
      </c>
      <c r="P22" s="701">
        <v>100</v>
      </c>
      <c r="Q22" s="726">
        <f>SUM(J22,,$N$22:$P$27)</f>
        <v>2243</v>
      </c>
      <c r="W22" s="149"/>
      <c r="X22" s="151"/>
      <c r="Y22" s="152"/>
      <c r="AA22" s="153"/>
      <c r="AB22" s="153"/>
      <c r="AC22" s="148"/>
      <c r="AD22" s="148"/>
    </row>
    <row r="23" spans="4:30" ht="21.75" customHeight="1">
      <c r="D23" s="486"/>
      <c r="E23" s="546"/>
      <c r="F23" s="550"/>
      <c r="G23" s="551"/>
      <c r="H23" s="425"/>
      <c r="I23" s="458"/>
      <c r="J23" s="692"/>
      <c r="K23" s="693"/>
      <c r="L23" s="693"/>
      <c r="M23" s="694"/>
      <c r="N23" s="709"/>
      <c r="O23" s="709"/>
      <c r="P23" s="702"/>
      <c r="Q23" s="703"/>
      <c r="AC23" s="659" t="s">
        <v>115</v>
      </c>
      <c r="AD23" s="653">
        <f>39/1000</f>
        <v>0.039</v>
      </c>
    </row>
    <row r="24" spans="4:30" ht="21.75" customHeight="1" thickBot="1">
      <c r="D24" s="486"/>
      <c r="E24" s="546"/>
      <c r="F24" s="550"/>
      <c r="G24" s="551"/>
      <c r="H24" s="425"/>
      <c r="I24" s="458"/>
      <c r="J24" s="692"/>
      <c r="K24" s="693"/>
      <c r="L24" s="693"/>
      <c r="M24" s="694"/>
      <c r="N24" s="709"/>
      <c r="O24" s="709"/>
      <c r="P24" s="702"/>
      <c r="Q24" s="703"/>
      <c r="AC24" s="660"/>
      <c r="AD24" s="654"/>
    </row>
    <row r="25" spans="4:17" ht="21.75" customHeight="1" thickBot="1">
      <c r="D25" s="486"/>
      <c r="E25" s="546"/>
      <c r="F25" s="550"/>
      <c r="G25" s="551"/>
      <c r="H25" s="425"/>
      <c r="I25" s="706" t="s">
        <v>29</v>
      </c>
      <c r="J25" s="689">
        <f>ROUNDUP(($AC$16+$AD$16+$AE$16+$AF$16)*$AD$32*$AD$41,0)</f>
        <v>947</v>
      </c>
      <c r="K25" s="690"/>
      <c r="L25" s="690"/>
      <c r="M25" s="691"/>
      <c r="N25" s="709"/>
      <c r="O25" s="709"/>
      <c r="P25" s="702"/>
      <c r="Q25" s="703">
        <f>SUM(J25,,$N$22:$P$27)</f>
        <v>2417</v>
      </c>
    </row>
    <row r="26" spans="4:30" ht="21.75" customHeight="1">
      <c r="D26" s="486"/>
      <c r="E26" s="546"/>
      <c r="F26" s="550"/>
      <c r="G26" s="551"/>
      <c r="H26" s="425"/>
      <c r="I26" s="458"/>
      <c r="J26" s="692"/>
      <c r="K26" s="693"/>
      <c r="L26" s="693"/>
      <c r="M26" s="694"/>
      <c r="N26" s="709"/>
      <c r="O26" s="709"/>
      <c r="P26" s="702"/>
      <c r="Q26" s="703"/>
      <c r="AC26" s="659" t="s">
        <v>334</v>
      </c>
      <c r="AD26" s="653">
        <v>0.021</v>
      </c>
    </row>
    <row r="27" spans="4:30" ht="21.75" customHeight="1" thickBot="1">
      <c r="D27" s="486"/>
      <c r="E27" s="546"/>
      <c r="F27" s="550"/>
      <c r="G27" s="551"/>
      <c r="H27" s="426"/>
      <c r="I27" s="458"/>
      <c r="J27" s="692"/>
      <c r="K27" s="693"/>
      <c r="L27" s="693"/>
      <c r="M27" s="694"/>
      <c r="N27" s="709"/>
      <c r="O27" s="709"/>
      <c r="P27" s="702"/>
      <c r="Q27" s="703"/>
      <c r="AC27" s="660"/>
      <c r="AD27" s="654"/>
    </row>
    <row r="28" spans="4:17" ht="21.75" customHeight="1" thickBot="1">
      <c r="D28" s="486"/>
      <c r="E28" s="546"/>
      <c r="F28" s="550"/>
      <c r="G28" s="551"/>
      <c r="H28" s="433" t="s">
        <v>16</v>
      </c>
      <c r="I28" s="706" t="s">
        <v>28</v>
      </c>
      <c r="J28" s="689">
        <f>ROUNDUP(($AC$18+$AD$18+$AE$18+$AF$18)*$AD$32*$AD$41,0)</f>
        <v>730</v>
      </c>
      <c r="K28" s="690"/>
      <c r="L28" s="690"/>
      <c r="M28" s="691"/>
      <c r="N28" s="709">
        <v>1000</v>
      </c>
      <c r="O28" s="709">
        <v>1310</v>
      </c>
      <c r="P28" s="702">
        <v>100</v>
      </c>
      <c r="Q28" s="703">
        <f>SUM(J28,,$N$28:$P$33)</f>
        <v>3140</v>
      </c>
    </row>
    <row r="29" spans="4:30" ht="21.75" customHeight="1">
      <c r="D29" s="486"/>
      <c r="E29" s="546"/>
      <c r="F29" s="550"/>
      <c r="G29" s="551"/>
      <c r="H29" s="434"/>
      <c r="I29" s="458"/>
      <c r="J29" s="692"/>
      <c r="K29" s="693"/>
      <c r="L29" s="693"/>
      <c r="M29" s="694"/>
      <c r="N29" s="709"/>
      <c r="O29" s="709"/>
      <c r="P29" s="702"/>
      <c r="Q29" s="703"/>
      <c r="AC29" s="651" t="s">
        <v>479</v>
      </c>
      <c r="AD29" s="653">
        <v>0.008</v>
      </c>
    </row>
    <row r="30" spans="4:30" ht="21.75" customHeight="1" thickBot="1">
      <c r="D30" s="486"/>
      <c r="E30" s="546"/>
      <c r="F30" s="550"/>
      <c r="G30" s="551"/>
      <c r="H30" s="434"/>
      <c r="I30" s="708"/>
      <c r="J30" s="695"/>
      <c r="K30" s="696"/>
      <c r="L30" s="696"/>
      <c r="M30" s="697"/>
      <c r="N30" s="709"/>
      <c r="O30" s="709"/>
      <c r="P30" s="702"/>
      <c r="Q30" s="703"/>
      <c r="AC30" s="652"/>
      <c r="AD30" s="654"/>
    </row>
    <row r="31" spans="4:17" ht="21.75" customHeight="1" thickBot="1">
      <c r="D31" s="486"/>
      <c r="E31" s="546"/>
      <c r="F31" s="550"/>
      <c r="G31" s="551"/>
      <c r="H31" s="434"/>
      <c r="I31" s="706" t="s">
        <v>29</v>
      </c>
      <c r="J31" s="692">
        <f>ROUNDUP(($AC$20+$AD$20+$AE$20+$AF$20)*$AD$32*$AD$41,0)</f>
        <v>887</v>
      </c>
      <c r="K31" s="693"/>
      <c r="L31" s="693"/>
      <c r="M31" s="694"/>
      <c r="N31" s="709"/>
      <c r="O31" s="709"/>
      <c r="P31" s="702"/>
      <c r="Q31" s="703">
        <f>SUM(J31,,$N$28:$P$33)</f>
        <v>3297</v>
      </c>
    </row>
    <row r="32" spans="4:30" ht="21.75" customHeight="1">
      <c r="D32" s="486"/>
      <c r="E32" s="546"/>
      <c r="F32" s="550"/>
      <c r="G32" s="551"/>
      <c r="H32" s="434"/>
      <c r="I32" s="458"/>
      <c r="J32" s="692"/>
      <c r="K32" s="693"/>
      <c r="L32" s="693"/>
      <c r="M32" s="694"/>
      <c r="N32" s="709"/>
      <c r="O32" s="709"/>
      <c r="P32" s="702"/>
      <c r="Q32" s="703"/>
      <c r="AC32" s="655" t="s">
        <v>123</v>
      </c>
      <c r="AD32" s="674">
        <v>10.27</v>
      </c>
    </row>
    <row r="33" spans="4:30" ht="21.75" customHeight="1" thickBot="1">
      <c r="D33" s="486"/>
      <c r="E33" s="547"/>
      <c r="F33" s="552"/>
      <c r="G33" s="553"/>
      <c r="H33" s="435"/>
      <c r="I33" s="458"/>
      <c r="J33" s="695"/>
      <c r="K33" s="696"/>
      <c r="L33" s="696"/>
      <c r="M33" s="697"/>
      <c r="N33" s="710"/>
      <c r="O33" s="710"/>
      <c r="P33" s="705"/>
      <c r="Q33" s="707"/>
      <c r="AC33" s="656"/>
      <c r="AD33" s="675"/>
    </row>
    <row r="34" spans="4:17" ht="21.75" customHeight="1" thickBot="1">
      <c r="D34" s="486"/>
      <c r="E34" s="472" t="s">
        <v>458</v>
      </c>
      <c r="F34" s="717" t="s">
        <v>77</v>
      </c>
      <c r="G34" s="718"/>
      <c r="H34" s="424" t="s">
        <v>15</v>
      </c>
      <c r="I34" s="457" t="s">
        <v>28</v>
      </c>
      <c r="J34" s="698">
        <f>ROUNDUP(($AC$14+$AD$14+$AE$14+$AF$14)*$AD$32*$AD$41,0)</f>
        <v>773</v>
      </c>
      <c r="K34" s="699"/>
      <c r="L34" s="699"/>
      <c r="M34" s="700"/>
      <c r="N34" s="716">
        <v>600</v>
      </c>
      <c r="O34" s="716">
        <v>370</v>
      </c>
      <c r="P34" s="701">
        <v>100</v>
      </c>
      <c r="Q34" s="704">
        <f>SUM(J34,,$N$34:$P$39)</f>
        <v>1843</v>
      </c>
    </row>
    <row r="35" spans="4:30" ht="21.75" customHeight="1">
      <c r="D35" s="486"/>
      <c r="E35" s="474"/>
      <c r="F35" s="719"/>
      <c r="G35" s="720"/>
      <c r="H35" s="425"/>
      <c r="I35" s="458"/>
      <c r="J35" s="692"/>
      <c r="K35" s="693"/>
      <c r="L35" s="693"/>
      <c r="M35" s="694"/>
      <c r="N35" s="709"/>
      <c r="O35" s="709"/>
      <c r="P35" s="702"/>
      <c r="Q35" s="703"/>
      <c r="AC35" s="655" t="s">
        <v>190</v>
      </c>
      <c r="AD35" s="661">
        <f>3/10</f>
        <v>0.3</v>
      </c>
    </row>
    <row r="36" spans="4:30" ht="21.75" customHeight="1" thickBot="1">
      <c r="D36" s="486"/>
      <c r="E36" s="474"/>
      <c r="F36" s="719"/>
      <c r="G36" s="720"/>
      <c r="H36" s="425"/>
      <c r="I36" s="458"/>
      <c r="J36" s="692"/>
      <c r="K36" s="693"/>
      <c r="L36" s="693"/>
      <c r="M36" s="694"/>
      <c r="N36" s="709"/>
      <c r="O36" s="709"/>
      <c r="P36" s="702"/>
      <c r="Q36" s="703"/>
      <c r="AC36" s="656"/>
      <c r="AD36" s="662"/>
    </row>
    <row r="37" spans="4:17" ht="21.75" customHeight="1" thickBot="1">
      <c r="D37" s="486"/>
      <c r="E37" s="474"/>
      <c r="F37" s="719"/>
      <c r="G37" s="720"/>
      <c r="H37" s="425"/>
      <c r="I37" s="706" t="s">
        <v>29</v>
      </c>
      <c r="J37" s="689">
        <f>ROUNDUP(($AC$16+$AD$16+$AE$16+$AF$16)*$AD$32*$AD$41,0)</f>
        <v>947</v>
      </c>
      <c r="K37" s="690"/>
      <c r="L37" s="690"/>
      <c r="M37" s="691"/>
      <c r="N37" s="709"/>
      <c r="O37" s="709"/>
      <c r="P37" s="702"/>
      <c r="Q37" s="703">
        <f>SUM(J37,,$N$34:$P$39)</f>
        <v>2017</v>
      </c>
    </row>
    <row r="38" spans="4:30" ht="21.75" customHeight="1">
      <c r="D38" s="486"/>
      <c r="E38" s="474"/>
      <c r="F38" s="719"/>
      <c r="G38" s="720"/>
      <c r="H38" s="425"/>
      <c r="I38" s="458"/>
      <c r="J38" s="692"/>
      <c r="K38" s="693"/>
      <c r="L38" s="693"/>
      <c r="M38" s="694"/>
      <c r="N38" s="709"/>
      <c r="O38" s="709"/>
      <c r="P38" s="702"/>
      <c r="Q38" s="703"/>
      <c r="AC38" s="655" t="s">
        <v>298</v>
      </c>
      <c r="AD38" s="661">
        <f>2/10</f>
        <v>0.2</v>
      </c>
    </row>
    <row r="39" spans="4:30" ht="21.75" customHeight="1" thickBot="1">
      <c r="D39" s="486"/>
      <c r="E39" s="474"/>
      <c r="F39" s="719"/>
      <c r="G39" s="720"/>
      <c r="H39" s="426"/>
      <c r="I39" s="458"/>
      <c r="J39" s="692"/>
      <c r="K39" s="693"/>
      <c r="L39" s="693"/>
      <c r="M39" s="694"/>
      <c r="N39" s="709"/>
      <c r="O39" s="709"/>
      <c r="P39" s="702"/>
      <c r="Q39" s="703"/>
      <c r="AC39" s="656"/>
      <c r="AD39" s="662"/>
    </row>
    <row r="40" spans="4:17" ht="21.75" customHeight="1" thickBot="1">
      <c r="D40" s="486"/>
      <c r="E40" s="474"/>
      <c r="F40" s="719"/>
      <c r="G40" s="720"/>
      <c r="H40" s="433" t="s">
        <v>16</v>
      </c>
      <c r="I40" s="706" t="s">
        <v>28</v>
      </c>
      <c r="J40" s="689">
        <f>ROUNDUP(($AC$18+$AD$18+$AE$18+$AF$18)*$AD$32*$AD$41,0)</f>
        <v>730</v>
      </c>
      <c r="K40" s="690"/>
      <c r="L40" s="690"/>
      <c r="M40" s="691"/>
      <c r="N40" s="709">
        <v>600</v>
      </c>
      <c r="O40" s="709">
        <v>490</v>
      </c>
      <c r="P40" s="702">
        <v>100</v>
      </c>
      <c r="Q40" s="703">
        <f>SUM(J40,,$N$40:$P$45)</f>
        <v>1920</v>
      </c>
    </row>
    <row r="41" spans="4:30" ht="21.75" customHeight="1">
      <c r="D41" s="486"/>
      <c r="E41" s="474"/>
      <c r="F41" s="719"/>
      <c r="G41" s="720"/>
      <c r="H41" s="434"/>
      <c r="I41" s="458"/>
      <c r="J41" s="692"/>
      <c r="K41" s="693"/>
      <c r="L41" s="693"/>
      <c r="M41" s="694"/>
      <c r="N41" s="709"/>
      <c r="O41" s="709"/>
      <c r="P41" s="702"/>
      <c r="Q41" s="703"/>
      <c r="AC41" s="655" t="s">
        <v>299</v>
      </c>
      <c r="AD41" s="661">
        <f>1/10</f>
        <v>0.1</v>
      </c>
    </row>
    <row r="42" spans="4:30" ht="21.75" customHeight="1" thickBot="1">
      <c r="D42" s="486"/>
      <c r="E42" s="474"/>
      <c r="F42" s="719"/>
      <c r="G42" s="720"/>
      <c r="H42" s="434"/>
      <c r="I42" s="708"/>
      <c r="J42" s="695"/>
      <c r="K42" s="696"/>
      <c r="L42" s="696"/>
      <c r="M42" s="697"/>
      <c r="N42" s="709"/>
      <c r="O42" s="709"/>
      <c r="P42" s="702"/>
      <c r="Q42" s="703"/>
      <c r="AC42" s="656"/>
      <c r="AD42" s="662"/>
    </row>
    <row r="43" spans="4:17" ht="21.75" customHeight="1">
      <c r="D43" s="486"/>
      <c r="E43" s="474"/>
      <c r="F43" s="719"/>
      <c r="G43" s="720"/>
      <c r="H43" s="434"/>
      <c r="I43" s="706" t="s">
        <v>29</v>
      </c>
      <c r="J43" s="692">
        <f>ROUNDUP(($AC$20+$AD$20+$AE$20+$AF$20)*$AD$32*$AD$41,0)</f>
        <v>887</v>
      </c>
      <c r="K43" s="693"/>
      <c r="L43" s="693"/>
      <c r="M43" s="694"/>
      <c r="N43" s="709"/>
      <c r="O43" s="709"/>
      <c r="P43" s="702"/>
      <c r="Q43" s="703">
        <f>SUM(J43,,$N$40:$P$45)</f>
        <v>2077</v>
      </c>
    </row>
    <row r="44" spans="4:26" ht="21.75" customHeight="1">
      <c r="D44" s="486"/>
      <c r="E44" s="474"/>
      <c r="F44" s="719"/>
      <c r="G44" s="720"/>
      <c r="H44" s="434"/>
      <c r="I44" s="458"/>
      <c r="J44" s="692"/>
      <c r="K44" s="693"/>
      <c r="L44" s="693"/>
      <c r="M44" s="694"/>
      <c r="N44" s="709"/>
      <c r="O44" s="709"/>
      <c r="P44" s="702"/>
      <c r="Q44" s="703"/>
      <c r="W44" s="280"/>
      <c r="X44" s="95"/>
      <c r="Y44" s="95"/>
      <c r="Z44" s="281"/>
    </row>
    <row r="45" spans="4:17" ht="21.75" customHeight="1" thickBot="1">
      <c r="D45" s="486"/>
      <c r="E45" s="476"/>
      <c r="F45" s="721"/>
      <c r="G45" s="722"/>
      <c r="H45" s="435"/>
      <c r="I45" s="458"/>
      <c r="J45" s="695"/>
      <c r="K45" s="696"/>
      <c r="L45" s="696"/>
      <c r="M45" s="697"/>
      <c r="N45" s="710"/>
      <c r="O45" s="710"/>
      <c r="P45" s="705"/>
      <c r="Q45" s="707"/>
    </row>
    <row r="46" spans="4:17" ht="21.75" customHeight="1">
      <c r="D46" s="486"/>
      <c r="E46" s="472" t="s">
        <v>459</v>
      </c>
      <c r="F46" s="565" t="s">
        <v>17</v>
      </c>
      <c r="G46" s="472" t="s">
        <v>18</v>
      </c>
      <c r="H46" s="424" t="s">
        <v>15</v>
      </c>
      <c r="I46" s="457" t="s">
        <v>28</v>
      </c>
      <c r="J46" s="698">
        <f>ROUNDUP(($AC$14+$AD$14+$AE$14+$AF$14)*$AD$32*$AD$41,0)</f>
        <v>773</v>
      </c>
      <c r="K46" s="699"/>
      <c r="L46" s="699"/>
      <c r="M46" s="700"/>
      <c r="N46" s="716">
        <v>300</v>
      </c>
      <c r="O46" s="716">
        <v>0</v>
      </c>
      <c r="P46" s="701">
        <v>100</v>
      </c>
      <c r="Q46" s="704">
        <f>SUM(J46,,$N$46:$P$51)</f>
        <v>1173</v>
      </c>
    </row>
    <row r="47" spans="4:17" ht="21.75" customHeight="1">
      <c r="D47" s="486"/>
      <c r="E47" s="474"/>
      <c r="F47" s="566"/>
      <c r="G47" s="474"/>
      <c r="H47" s="425"/>
      <c r="I47" s="458"/>
      <c r="J47" s="692"/>
      <c r="K47" s="693"/>
      <c r="L47" s="693"/>
      <c r="M47" s="694"/>
      <c r="N47" s="709"/>
      <c r="O47" s="709"/>
      <c r="P47" s="702"/>
      <c r="Q47" s="703"/>
    </row>
    <row r="48" spans="4:17" ht="21.75" customHeight="1">
      <c r="D48" s="486"/>
      <c r="E48" s="474"/>
      <c r="F48" s="566"/>
      <c r="G48" s="474"/>
      <c r="H48" s="425"/>
      <c r="I48" s="458"/>
      <c r="J48" s="692"/>
      <c r="K48" s="693"/>
      <c r="L48" s="693"/>
      <c r="M48" s="694"/>
      <c r="N48" s="709"/>
      <c r="O48" s="709"/>
      <c r="P48" s="702"/>
      <c r="Q48" s="703"/>
    </row>
    <row r="49" spans="4:17" ht="21.75" customHeight="1">
      <c r="D49" s="486"/>
      <c r="E49" s="474"/>
      <c r="F49" s="566"/>
      <c r="G49" s="474"/>
      <c r="H49" s="425"/>
      <c r="I49" s="706" t="s">
        <v>29</v>
      </c>
      <c r="J49" s="689">
        <f>ROUNDUP(($AC$16+$AD$16+$AE$16+$AF$16)*$AD$32*$AD$41,0)</f>
        <v>947</v>
      </c>
      <c r="K49" s="690"/>
      <c r="L49" s="690"/>
      <c r="M49" s="691"/>
      <c r="N49" s="709"/>
      <c r="O49" s="709"/>
      <c r="P49" s="702"/>
      <c r="Q49" s="703">
        <f>SUM(J49,,$N$46:$P$51)</f>
        <v>1347</v>
      </c>
    </row>
    <row r="50" spans="4:17" ht="21.75" customHeight="1">
      <c r="D50" s="486"/>
      <c r="E50" s="474"/>
      <c r="F50" s="566"/>
      <c r="G50" s="474"/>
      <c r="H50" s="425"/>
      <c r="I50" s="458"/>
      <c r="J50" s="692"/>
      <c r="K50" s="693"/>
      <c r="L50" s="693"/>
      <c r="M50" s="694"/>
      <c r="N50" s="709"/>
      <c r="O50" s="709"/>
      <c r="P50" s="702"/>
      <c r="Q50" s="703"/>
    </row>
    <row r="51" spans="4:17" ht="21.75" customHeight="1">
      <c r="D51" s="486"/>
      <c r="E51" s="474"/>
      <c r="F51" s="566"/>
      <c r="G51" s="474"/>
      <c r="H51" s="426"/>
      <c r="I51" s="708"/>
      <c r="J51" s="692"/>
      <c r="K51" s="693"/>
      <c r="L51" s="693"/>
      <c r="M51" s="694"/>
      <c r="N51" s="709"/>
      <c r="O51" s="709"/>
      <c r="P51" s="702"/>
      <c r="Q51" s="703"/>
    </row>
    <row r="52" spans="4:17" ht="21.75" customHeight="1">
      <c r="D52" s="486"/>
      <c r="E52" s="474"/>
      <c r="F52" s="566"/>
      <c r="G52" s="474"/>
      <c r="H52" s="433" t="s">
        <v>16</v>
      </c>
      <c r="I52" s="458" t="s">
        <v>28</v>
      </c>
      <c r="J52" s="689">
        <f>ROUNDUP(($AC$18+$AD$18+$AE$18+$AF$18)*$AD$32*$AD$41,0)</f>
        <v>730</v>
      </c>
      <c r="K52" s="690"/>
      <c r="L52" s="690"/>
      <c r="M52" s="691"/>
      <c r="N52" s="709">
        <v>300</v>
      </c>
      <c r="O52" s="711">
        <v>490</v>
      </c>
      <c r="P52" s="702">
        <v>100</v>
      </c>
      <c r="Q52" s="703">
        <f>SUM(J52,,$N$52:$P$57)</f>
        <v>1620</v>
      </c>
    </row>
    <row r="53" spans="4:17" ht="21.75" customHeight="1">
      <c r="D53" s="486"/>
      <c r="E53" s="474"/>
      <c r="F53" s="566"/>
      <c r="G53" s="474"/>
      <c r="H53" s="434"/>
      <c r="I53" s="458"/>
      <c r="J53" s="692"/>
      <c r="K53" s="693"/>
      <c r="L53" s="693"/>
      <c r="M53" s="694"/>
      <c r="N53" s="709"/>
      <c r="O53" s="711"/>
      <c r="P53" s="702"/>
      <c r="Q53" s="703"/>
    </row>
    <row r="54" spans="4:17" ht="21.75" customHeight="1">
      <c r="D54" s="486"/>
      <c r="E54" s="474"/>
      <c r="F54" s="566"/>
      <c r="G54" s="474"/>
      <c r="H54" s="434"/>
      <c r="I54" s="458"/>
      <c r="J54" s="695"/>
      <c r="K54" s="696"/>
      <c r="L54" s="696"/>
      <c r="M54" s="697"/>
      <c r="N54" s="709"/>
      <c r="O54" s="711"/>
      <c r="P54" s="702"/>
      <c r="Q54" s="703"/>
    </row>
    <row r="55" spans="4:17" ht="21.75" customHeight="1">
      <c r="D55" s="486"/>
      <c r="E55" s="474"/>
      <c r="F55" s="566"/>
      <c r="G55" s="474"/>
      <c r="H55" s="434"/>
      <c r="I55" s="706" t="s">
        <v>29</v>
      </c>
      <c r="J55" s="689">
        <f>ROUNDUP(($AC$20+$AD$20+$AE$20+$AF$20)*$AD$32*$AD$41,0)</f>
        <v>887</v>
      </c>
      <c r="K55" s="690"/>
      <c r="L55" s="690"/>
      <c r="M55" s="691"/>
      <c r="N55" s="709"/>
      <c r="O55" s="711"/>
      <c r="P55" s="702"/>
      <c r="Q55" s="703">
        <f>SUM(J55,,$N$52:$P$57)</f>
        <v>1777</v>
      </c>
    </row>
    <row r="56" spans="4:17" ht="21.75" customHeight="1">
      <c r="D56" s="486"/>
      <c r="E56" s="474"/>
      <c r="F56" s="566"/>
      <c r="G56" s="474"/>
      <c r="H56" s="434"/>
      <c r="I56" s="458"/>
      <c r="J56" s="692"/>
      <c r="K56" s="693"/>
      <c r="L56" s="693"/>
      <c r="M56" s="694"/>
      <c r="N56" s="709"/>
      <c r="O56" s="711"/>
      <c r="P56" s="702"/>
      <c r="Q56" s="703"/>
    </row>
    <row r="57" spans="4:17" ht="21.75" customHeight="1" thickBot="1">
      <c r="D57" s="487"/>
      <c r="E57" s="476"/>
      <c r="F57" s="567"/>
      <c r="G57" s="476"/>
      <c r="H57" s="435"/>
      <c r="I57" s="459"/>
      <c r="J57" s="713"/>
      <c r="K57" s="714"/>
      <c r="L57" s="714"/>
      <c r="M57" s="715"/>
      <c r="N57" s="710"/>
      <c r="O57" s="712"/>
      <c r="P57" s="705"/>
      <c r="Q57" s="707"/>
    </row>
    <row r="58" ht="12.75" customHeight="1"/>
    <row r="59" ht="12.75" customHeight="1"/>
    <row r="60" spans="4:15" ht="12.75" customHeight="1">
      <c r="D60" s="149"/>
      <c r="E60" s="149"/>
      <c r="F60" s="149"/>
      <c r="G60" s="236"/>
      <c r="H60" s="245"/>
      <c r="I60" s="245"/>
      <c r="J60" s="245"/>
      <c r="K60" s="245"/>
      <c r="L60" s="247"/>
      <c r="M60" s="247"/>
      <c r="N60" s="247"/>
      <c r="O60" s="247"/>
    </row>
    <row r="61" ht="12.75" customHeight="1"/>
    <row r="62" ht="12.75" customHeight="1"/>
    <row r="63" ht="12.75" customHeight="1">
      <c r="D63" s="11"/>
    </row>
    <row r="64" ht="12.75" customHeight="1"/>
    <row r="65" ht="12.75" customHeight="1"/>
    <row r="66" spans="7:17" ht="12.75" customHeight="1" thickBot="1">
      <c r="G66" s="25"/>
      <c r="J66" s="26"/>
      <c r="K66" s="26"/>
      <c r="L66" s="26"/>
      <c r="M66" s="26"/>
      <c r="O66" s="253" t="str">
        <f>$O$3</f>
        <v>(2022年10月1日～改訂)</v>
      </c>
      <c r="Q66" s="111"/>
    </row>
    <row r="67" spans="6:17" ht="12.75" customHeight="1" thickBot="1">
      <c r="F67" s="730" t="s">
        <v>26</v>
      </c>
      <c r="G67" s="731"/>
      <c r="H67" s="731"/>
      <c r="I67" s="731"/>
      <c r="J67" s="732"/>
      <c r="K67" s="6"/>
      <c r="L67" s="17" t="s">
        <v>3</v>
      </c>
      <c r="M67" s="6"/>
      <c r="Q67" s="111"/>
    </row>
    <row r="68" spans="6:13" ht="12.75" customHeight="1" thickBot="1">
      <c r="F68" s="6"/>
      <c r="G68" s="6"/>
      <c r="H68" s="6"/>
      <c r="I68" s="6"/>
      <c r="J68" s="6"/>
      <c r="K68" s="6"/>
      <c r="L68" s="6"/>
      <c r="M68" s="6"/>
    </row>
    <row r="69" spans="10:18" ht="12.75" customHeight="1" thickBot="1">
      <c r="J69" s="445" t="s">
        <v>72</v>
      </c>
      <c r="K69" s="446"/>
      <c r="L69" s="446"/>
      <c r="M69" s="447"/>
      <c r="N69" s="445" t="s">
        <v>76</v>
      </c>
      <c r="O69" s="447"/>
      <c r="P69" s="351" t="s">
        <v>71</v>
      </c>
      <c r="R69" s="189"/>
    </row>
    <row r="70" spans="5:17" ht="12.75" customHeight="1">
      <c r="E70" s="506" t="s">
        <v>4</v>
      </c>
      <c r="F70" s="507"/>
      <c r="G70" s="610"/>
      <c r="H70" s="457" t="s">
        <v>5</v>
      </c>
      <c r="I70" s="460" t="s">
        <v>6</v>
      </c>
      <c r="J70" s="663" t="s">
        <v>144</v>
      </c>
      <c r="K70" s="664"/>
      <c r="L70" s="664"/>
      <c r="M70" s="665"/>
      <c r="N70" s="460" t="s">
        <v>27</v>
      </c>
      <c r="O70" s="457" t="s">
        <v>10</v>
      </c>
      <c r="P70" s="723" t="s">
        <v>11</v>
      </c>
      <c r="Q70" s="727" t="s">
        <v>12</v>
      </c>
    </row>
    <row r="71" spans="5:18" ht="12.75" customHeight="1">
      <c r="E71" s="733"/>
      <c r="F71" s="734"/>
      <c r="G71" s="735"/>
      <c r="H71" s="458"/>
      <c r="I71" s="461"/>
      <c r="J71" s="666"/>
      <c r="K71" s="667"/>
      <c r="L71" s="667"/>
      <c r="M71" s="668"/>
      <c r="N71" s="461"/>
      <c r="O71" s="458"/>
      <c r="P71" s="724"/>
      <c r="Q71" s="728"/>
      <c r="R71" s="11"/>
    </row>
    <row r="72" spans="5:17" ht="12.75" customHeight="1" thickBot="1">
      <c r="E72" s="736"/>
      <c r="F72" s="737"/>
      <c r="G72" s="738"/>
      <c r="H72" s="459"/>
      <c r="I72" s="462"/>
      <c r="J72" s="669"/>
      <c r="K72" s="670"/>
      <c r="L72" s="670"/>
      <c r="M72" s="671"/>
      <c r="N72" s="462"/>
      <c r="O72" s="459"/>
      <c r="P72" s="725"/>
      <c r="Q72" s="729"/>
    </row>
    <row r="73" spans="4:17" ht="21.75" customHeight="1">
      <c r="D73" s="485" t="s">
        <v>296</v>
      </c>
      <c r="E73" s="468" t="s">
        <v>13</v>
      </c>
      <c r="F73" s="471" t="s">
        <v>14</v>
      </c>
      <c r="G73" s="472"/>
      <c r="H73" s="424" t="s">
        <v>15</v>
      </c>
      <c r="I73" s="457" t="s">
        <v>28</v>
      </c>
      <c r="J73" s="698">
        <f>ROUNDUP(($AC$14+$AD$14+$AE$14+$AF$14)*$AD$32*$AD$35,0)</f>
        <v>2317</v>
      </c>
      <c r="K73" s="699"/>
      <c r="L73" s="699"/>
      <c r="M73" s="700"/>
      <c r="N73" s="739">
        <v>1880</v>
      </c>
      <c r="O73" s="739">
        <v>370</v>
      </c>
      <c r="P73" s="701">
        <v>100</v>
      </c>
      <c r="Q73" s="726">
        <f>SUM(J73,$N$73:$P$78)</f>
        <v>4667</v>
      </c>
    </row>
    <row r="74" spans="4:17" ht="21.75" customHeight="1">
      <c r="D74" s="486"/>
      <c r="E74" s="469"/>
      <c r="F74" s="473"/>
      <c r="G74" s="474"/>
      <c r="H74" s="425"/>
      <c r="I74" s="458"/>
      <c r="J74" s="692"/>
      <c r="K74" s="693"/>
      <c r="L74" s="693"/>
      <c r="M74" s="694"/>
      <c r="N74" s="711"/>
      <c r="O74" s="711"/>
      <c r="P74" s="702"/>
      <c r="Q74" s="703"/>
    </row>
    <row r="75" spans="4:17" ht="21.75" customHeight="1">
      <c r="D75" s="486"/>
      <c r="E75" s="469"/>
      <c r="F75" s="473"/>
      <c r="G75" s="474"/>
      <c r="H75" s="425"/>
      <c r="I75" s="458"/>
      <c r="J75" s="692"/>
      <c r="K75" s="693"/>
      <c r="L75" s="693"/>
      <c r="M75" s="694"/>
      <c r="N75" s="711"/>
      <c r="O75" s="711"/>
      <c r="P75" s="702"/>
      <c r="Q75" s="741"/>
    </row>
    <row r="76" spans="4:17" ht="21.75" customHeight="1">
      <c r="D76" s="486"/>
      <c r="E76" s="469"/>
      <c r="F76" s="473"/>
      <c r="G76" s="474"/>
      <c r="H76" s="425"/>
      <c r="I76" s="706" t="s">
        <v>29</v>
      </c>
      <c r="J76" s="689">
        <f>ROUNDUP(($AC$16+$AD$16+$AE$16+$AF$16)*$AD$32*$AD$35,0)</f>
        <v>2841</v>
      </c>
      <c r="K76" s="690"/>
      <c r="L76" s="690"/>
      <c r="M76" s="691"/>
      <c r="N76" s="711"/>
      <c r="O76" s="711"/>
      <c r="P76" s="702"/>
      <c r="Q76" s="703">
        <f>SUM(J76,$N$73:$P$78)</f>
        <v>5191</v>
      </c>
    </row>
    <row r="77" spans="4:17" ht="21.75" customHeight="1">
      <c r="D77" s="486"/>
      <c r="E77" s="469"/>
      <c r="F77" s="473"/>
      <c r="G77" s="474"/>
      <c r="H77" s="425"/>
      <c r="I77" s="458"/>
      <c r="J77" s="692"/>
      <c r="K77" s="693"/>
      <c r="L77" s="693"/>
      <c r="M77" s="694"/>
      <c r="N77" s="711"/>
      <c r="O77" s="711"/>
      <c r="P77" s="702"/>
      <c r="Q77" s="703"/>
    </row>
    <row r="78" spans="4:18" ht="21.75" customHeight="1" thickBot="1">
      <c r="D78" s="486"/>
      <c r="E78" s="469"/>
      <c r="F78" s="473"/>
      <c r="G78" s="474"/>
      <c r="H78" s="426"/>
      <c r="I78" s="458"/>
      <c r="J78" s="692"/>
      <c r="K78" s="693"/>
      <c r="L78" s="693"/>
      <c r="M78" s="694"/>
      <c r="N78" s="711"/>
      <c r="O78" s="711"/>
      <c r="P78" s="702"/>
      <c r="Q78" s="703"/>
      <c r="R78" s="13"/>
    </row>
    <row r="79" spans="4:17" ht="21.75" customHeight="1">
      <c r="D79" s="486"/>
      <c r="E79" s="469"/>
      <c r="F79" s="473"/>
      <c r="G79" s="474"/>
      <c r="H79" s="433" t="s">
        <v>16</v>
      </c>
      <c r="I79" s="706" t="s">
        <v>28</v>
      </c>
      <c r="J79" s="689">
        <f>ROUNDUP(($AC$18+$AD$18+$AE$18+$AF$18)*$AD$32*$AD$35,0)</f>
        <v>2188</v>
      </c>
      <c r="K79" s="690"/>
      <c r="L79" s="690"/>
      <c r="M79" s="691"/>
      <c r="N79" s="711">
        <v>1880</v>
      </c>
      <c r="O79" s="711">
        <v>1640</v>
      </c>
      <c r="P79" s="702">
        <v>100</v>
      </c>
      <c r="Q79" s="726">
        <f>SUM(J79,$N$79:$P$84)</f>
        <v>5808</v>
      </c>
    </row>
    <row r="80" spans="4:17" ht="21.75" customHeight="1">
      <c r="D80" s="486"/>
      <c r="E80" s="469"/>
      <c r="F80" s="473"/>
      <c r="G80" s="474"/>
      <c r="H80" s="434"/>
      <c r="I80" s="458"/>
      <c r="J80" s="692"/>
      <c r="K80" s="693"/>
      <c r="L80" s="693"/>
      <c r="M80" s="694"/>
      <c r="N80" s="711"/>
      <c r="O80" s="711"/>
      <c r="P80" s="702"/>
      <c r="Q80" s="703"/>
    </row>
    <row r="81" spans="4:17" ht="21.75" customHeight="1">
      <c r="D81" s="486"/>
      <c r="E81" s="469"/>
      <c r="F81" s="473"/>
      <c r="G81" s="474"/>
      <c r="H81" s="434"/>
      <c r="I81" s="708"/>
      <c r="J81" s="695"/>
      <c r="K81" s="696"/>
      <c r="L81" s="696"/>
      <c r="M81" s="697"/>
      <c r="N81" s="711"/>
      <c r="O81" s="711"/>
      <c r="P81" s="702"/>
      <c r="Q81" s="703"/>
    </row>
    <row r="82" spans="4:17" ht="21.75" customHeight="1">
      <c r="D82" s="486"/>
      <c r="E82" s="469"/>
      <c r="F82" s="473"/>
      <c r="G82" s="474"/>
      <c r="H82" s="434"/>
      <c r="I82" s="706" t="s">
        <v>29</v>
      </c>
      <c r="J82" s="692">
        <f>ROUNDUP(($AC$20+$AD$20+$AE$20+$AF$20)*$AD$32*$AD$35,0)</f>
        <v>2659</v>
      </c>
      <c r="K82" s="693"/>
      <c r="L82" s="693"/>
      <c r="M82" s="694"/>
      <c r="N82" s="711"/>
      <c r="O82" s="711"/>
      <c r="P82" s="702"/>
      <c r="Q82" s="704">
        <f>SUM(J82,$N$79:$P$84)</f>
        <v>6279</v>
      </c>
    </row>
    <row r="83" spans="4:17" ht="21.75" customHeight="1">
      <c r="D83" s="486"/>
      <c r="E83" s="469"/>
      <c r="F83" s="473"/>
      <c r="G83" s="474"/>
      <c r="H83" s="434"/>
      <c r="I83" s="458"/>
      <c r="J83" s="692"/>
      <c r="K83" s="693"/>
      <c r="L83" s="693"/>
      <c r="M83" s="694"/>
      <c r="N83" s="711"/>
      <c r="O83" s="711"/>
      <c r="P83" s="702"/>
      <c r="Q83" s="703"/>
    </row>
    <row r="84" spans="4:17" ht="21.75" customHeight="1" thickBot="1">
      <c r="D84" s="486"/>
      <c r="E84" s="470"/>
      <c r="F84" s="475"/>
      <c r="G84" s="476"/>
      <c r="H84" s="435"/>
      <c r="I84" s="458"/>
      <c r="J84" s="695"/>
      <c r="K84" s="696"/>
      <c r="L84" s="696"/>
      <c r="M84" s="697"/>
      <c r="N84" s="712"/>
      <c r="O84" s="712"/>
      <c r="P84" s="705"/>
      <c r="Q84" s="703"/>
    </row>
    <row r="85" spans="4:17" ht="21.75" customHeight="1">
      <c r="D85" s="485" t="s">
        <v>295</v>
      </c>
      <c r="E85" s="472" t="s">
        <v>13</v>
      </c>
      <c r="F85" s="471" t="s">
        <v>14</v>
      </c>
      <c r="G85" s="472"/>
      <c r="H85" s="424" t="s">
        <v>15</v>
      </c>
      <c r="I85" s="457" t="s">
        <v>28</v>
      </c>
      <c r="J85" s="698">
        <f>ROUNDUP(($AC$14+$AD$14+$AE$14+$AF$14)*$AD$32*$AD$38,0)</f>
        <v>1545</v>
      </c>
      <c r="K85" s="699"/>
      <c r="L85" s="699"/>
      <c r="M85" s="700"/>
      <c r="N85" s="739">
        <v>1880</v>
      </c>
      <c r="O85" s="739">
        <v>370</v>
      </c>
      <c r="P85" s="701">
        <v>100</v>
      </c>
      <c r="Q85" s="726">
        <f>SUM(J85,$N$85:$P$90)</f>
        <v>3895</v>
      </c>
    </row>
    <row r="86" spans="4:17" ht="21.75" customHeight="1">
      <c r="D86" s="486"/>
      <c r="E86" s="474"/>
      <c r="F86" s="473"/>
      <c r="G86" s="474"/>
      <c r="H86" s="425"/>
      <c r="I86" s="458"/>
      <c r="J86" s="692"/>
      <c r="K86" s="693"/>
      <c r="L86" s="693"/>
      <c r="M86" s="694"/>
      <c r="N86" s="711"/>
      <c r="O86" s="711"/>
      <c r="P86" s="702"/>
      <c r="Q86" s="703"/>
    </row>
    <row r="87" spans="4:17" ht="21.75" customHeight="1">
      <c r="D87" s="486"/>
      <c r="E87" s="474"/>
      <c r="F87" s="473"/>
      <c r="G87" s="474"/>
      <c r="H87" s="425"/>
      <c r="I87" s="458"/>
      <c r="J87" s="692"/>
      <c r="K87" s="693"/>
      <c r="L87" s="693"/>
      <c r="M87" s="694"/>
      <c r="N87" s="711"/>
      <c r="O87" s="711"/>
      <c r="P87" s="702"/>
      <c r="Q87" s="741"/>
    </row>
    <row r="88" spans="4:17" ht="21.75" customHeight="1">
      <c r="D88" s="486"/>
      <c r="E88" s="474"/>
      <c r="F88" s="473"/>
      <c r="G88" s="474"/>
      <c r="H88" s="425"/>
      <c r="I88" s="706" t="s">
        <v>29</v>
      </c>
      <c r="J88" s="689">
        <f>ROUNDUP(($AC$16+$AD$16+$AE$16+$AF$16)*$AD$32*$AD$38,0)</f>
        <v>1894</v>
      </c>
      <c r="K88" s="690"/>
      <c r="L88" s="690"/>
      <c r="M88" s="691"/>
      <c r="N88" s="711"/>
      <c r="O88" s="711"/>
      <c r="P88" s="702"/>
      <c r="Q88" s="703">
        <f>SUM(J88,$N$85:$P$90)</f>
        <v>4244</v>
      </c>
    </row>
    <row r="89" spans="4:17" ht="21.75" customHeight="1">
      <c r="D89" s="486"/>
      <c r="E89" s="474"/>
      <c r="F89" s="473"/>
      <c r="G89" s="474"/>
      <c r="H89" s="425"/>
      <c r="I89" s="458"/>
      <c r="J89" s="692"/>
      <c r="K89" s="693"/>
      <c r="L89" s="693"/>
      <c r="M89" s="694"/>
      <c r="N89" s="711"/>
      <c r="O89" s="711"/>
      <c r="P89" s="702"/>
      <c r="Q89" s="703"/>
    </row>
    <row r="90" spans="4:17" ht="21.75" customHeight="1" thickBot="1">
      <c r="D90" s="486"/>
      <c r="E90" s="474"/>
      <c r="F90" s="473"/>
      <c r="G90" s="474"/>
      <c r="H90" s="426"/>
      <c r="I90" s="458"/>
      <c r="J90" s="692"/>
      <c r="K90" s="693"/>
      <c r="L90" s="693"/>
      <c r="M90" s="694"/>
      <c r="N90" s="711"/>
      <c r="O90" s="711"/>
      <c r="P90" s="702"/>
      <c r="Q90" s="703"/>
    </row>
    <row r="91" spans="1:18" ht="21.75" customHeight="1">
      <c r="A91" s="11"/>
      <c r="B91" s="11"/>
      <c r="C91" s="11"/>
      <c r="D91" s="486"/>
      <c r="E91" s="474"/>
      <c r="F91" s="473"/>
      <c r="G91" s="474"/>
      <c r="H91" s="433" t="s">
        <v>16</v>
      </c>
      <c r="I91" s="706" t="s">
        <v>28</v>
      </c>
      <c r="J91" s="689">
        <f>ROUNDUP(($AC$18+$AD$18+$AE$18+$AF$18)*$AD$32*$AD$38,0)</f>
        <v>1459</v>
      </c>
      <c r="K91" s="690"/>
      <c r="L91" s="690"/>
      <c r="M91" s="691"/>
      <c r="N91" s="711">
        <v>1880</v>
      </c>
      <c r="O91" s="711">
        <v>1640</v>
      </c>
      <c r="P91" s="702">
        <v>100</v>
      </c>
      <c r="Q91" s="726">
        <f>SUM(J91,$N$91:$P$96)</f>
        <v>5079</v>
      </c>
      <c r="R91" s="13"/>
    </row>
    <row r="92" spans="1:18" ht="21.75" customHeight="1">
      <c r="A92" s="11"/>
      <c r="B92" s="11"/>
      <c r="C92" s="11"/>
      <c r="D92" s="486"/>
      <c r="E92" s="474"/>
      <c r="F92" s="473"/>
      <c r="G92" s="474"/>
      <c r="H92" s="434"/>
      <c r="I92" s="458"/>
      <c r="J92" s="692"/>
      <c r="K92" s="693"/>
      <c r="L92" s="693"/>
      <c r="M92" s="694"/>
      <c r="N92" s="711"/>
      <c r="O92" s="711"/>
      <c r="P92" s="702"/>
      <c r="Q92" s="703"/>
      <c r="R92" s="13"/>
    </row>
    <row r="93" spans="1:17" ht="21.75" customHeight="1">
      <c r="A93" s="42"/>
      <c r="B93" s="11"/>
      <c r="C93" s="94"/>
      <c r="D93" s="486"/>
      <c r="E93" s="474"/>
      <c r="F93" s="473"/>
      <c r="G93" s="474"/>
      <c r="H93" s="434"/>
      <c r="I93" s="708"/>
      <c r="J93" s="695"/>
      <c r="K93" s="696"/>
      <c r="L93" s="696"/>
      <c r="M93" s="697"/>
      <c r="N93" s="711"/>
      <c r="O93" s="711"/>
      <c r="P93" s="702"/>
      <c r="Q93" s="703"/>
    </row>
    <row r="94" spans="1:17" ht="21.75" customHeight="1">
      <c r="A94" s="11"/>
      <c r="C94" s="11"/>
      <c r="D94" s="486"/>
      <c r="E94" s="474"/>
      <c r="F94" s="473"/>
      <c r="G94" s="474"/>
      <c r="H94" s="434"/>
      <c r="I94" s="706" t="s">
        <v>29</v>
      </c>
      <c r="J94" s="692">
        <f>ROUNDUP(($AC$20+$AD$20+$AE$20+$AF$20)*$AD$32*$AD$38,0)</f>
        <v>1773</v>
      </c>
      <c r="K94" s="693"/>
      <c r="L94" s="693"/>
      <c r="M94" s="694"/>
      <c r="N94" s="711"/>
      <c r="O94" s="711"/>
      <c r="P94" s="702"/>
      <c r="Q94" s="704">
        <f>SUM(J94,$N$91:$P$96)</f>
        <v>5393</v>
      </c>
    </row>
    <row r="95" spans="1:17" ht="21.75" customHeight="1">
      <c r="A95" s="11"/>
      <c r="B95" s="11"/>
      <c r="C95" s="11"/>
      <c r="D95" s="486"/>
      <c r="E95" s="474"/>
      <c r="F95" s="473"/>
      <c r="G95" s="474"/>
      <c r="H95" s="434"/>
      <c r="I95" s="458"/>
      <c r="J95" s="692"/>
      <c r="K95" s="693"/>
      <c r="L95" s="693"/>
      <c r="M95" s="694"/>
      <c r="N95" s="711"/>
      <c r="O95" s="711"/>
      <c r="P95" s="702"/>
      <c r="Q95" s="703"/>
    </row>
    <row r="96" spans="1:17" ht="21.75" customHeight="1" thickBot="1">
      <c r="A96" s="24"/>
      <c r="B96" s="11"/>
      <c r="C96" s="188"/>
      <c r="D96" s="487"/>
      <c r="E96" s="476"/>
      <c r="F96" s="475"/>
      <c r="G96" s="476"/>
      <c r="H96" s="435"/>
      <c r="I96" s="458"/>
      <c r="J96" s="695"/>
      <c r="K96" s="696"/>
      <c r="L96" s="696"/>
      <c r="M96" s="697"/>
      <c r="N96" s="712"/>
      <c r="O96" s="712"/>
      <c r="P96" s="705"/>
      <c r="Q96" s="703"/>
    </row>
    <row r="97" spans="1:17" ht="21.75" customHeight="1">
      <c r="A97" s="11"/>
      <c r="C97" s="11"/>
      <c r="D97" s="485" t="s">
        <v>297</v>
      </c>
      <c r="E97" s="472" t="s">
        <v>13</v>
      </c>
      <c r="F97" s="471" t="s">
        <v>14</v>
      </c>
      <c r="G97" s="472"/>
      <c r="H97" s="424" t="s">
        <v>15</v>
      </c>
      <c r="I97" s="457" t="s">
        <v>28</v>
      </c>
      <c r="J97" s="698">
        <f>ROUNDUP(($AC$14+$AD$14+$AE$14+$AF$14)*$AD$32*$AD$41,0)</f>
        <v>773</v>
      </c>
      <c r="K97" s="699"/>
      <c r="L97" s="699"/>
      <c r="M97" s="700"/>
      <c r="N97" s="739">
        <v>1880</v>
      </c>
      <c r="O97" s="739">
        <v>370</v>
      </c>
      <c r="P97" s="701">
        <v>100</v>
      </c>
      <c r="Q97" s="726">
        <f>SUM(J97,$N$97:$P$102)</f>
        <v>3123</v>
      </c>
    </row>
    <row r="98" spans="1:17" ht="21.75" customHeight="1">
      <c r="A98" s="11"/>
      <c r="C98" s="11"/>
      <c r="D98" s="486"/>
      <c r="E98" s="474"/>
      <c r="F98" s="473"/>
      <c r="G98" s="474"/>
      <c r="H98" s="425"/>
      <c r="I98" s="458"/>
      <c r="J98" s="692"/>
      <c r="K98" s="693"/>
      <c r="L98" s="693"/>
      <c r="M98" s="694"/>
      <c r="N98" s="711"/>
      <c r="O98" s="711"/>
      <c r="P98" s="702"/>
      <c r="Q98" s="703"/>
    </row>
    <row r="99" spans="3:17" ht="21.75" customHeight="1">
      <c r="C99" s="11"/>
      <c r="D99" s="486"/>
      <c r="E99" s="474"/>
      <c r="F99" s="473"/>
      <c r="G99" s="474"/>
      <c r="H99" s="425"/>
      <c r="I99" s="458"/>
      <c r="J99" s="692"/>
      <c r="K99" s="693"/>
      <c r="L99" s="693"/>
      <c r="M99" s="694"/>
      <c r="N99" s="711"/>
      <c r="O99" s="711"/>
      <c r="P99" s="702"/>
      <c r="Q99" s="741"/>
    </row>
    <row r="100" spans="4:17" ht="21.75" customHeight="1">
      <c r="D100" s="486"/>
      <c r="E100" s="474"/>
      <c r="F100" s="473"/>
      <c r="G100" s="474"/>
      <c r="H100" s="425"/>
      <c r="I100" s="706" t="s">
        <v>29</v>
      </c>
      <c r="J100" s="689">
        <f>ROUNDUP(($AC$16+$AD$16+$AE$16+$AF$16)*$AD$32*$AD$41,0)</f>
        <v>947</v>
      </c>
      <c r="K100" s="690"/>
      <c r="L100" s="690"/>
      <c r="M100" s="691"/>
      <c r="N100" s="711"/>
      <c r="O100" s="711"/>
      <c r="P100" s="702"/>
      <c r="Q100" s="703">
        <f>SUM(J100,$N$97:$P$102)</f>
        <v>3297</v>
      </c>
    </row>
    <row r="101" spans="4:17" ht="21.75" customHeight="1">
      <c r="D101" s="486"/>
      <c r="E101" s="474"/>
      <c r="F101" s="473"/>
      <c r="G101" s="474"/>
      <c r="H101" s="425"/>
      <c r="I101" s="458"/>
      <c r="J101" s="692"/>
      <c r="K101" s="693"/>
      <c r="L101" s="693"/>
      <c r="M101" s="694"/>
      <c r="N101" s="711"/>
      <c r="O101" s="711"/>
      <c r="P101" s="702"/>
      <c r="Q101" s="703"/>
    </row>
    <row r="102" spans="4:17" ht="21.75" customHeight="1" thickBot="1">
      <c r="D102" s="486"/>
      <c r="E102" s="474"/>
      <c r="F102" s="473"/>
      <c r="G102" s="474"/>
      <c r="H102" s="426"/>
      <c r="I102" s="458"/>
      <c r="J102" s="692"/>
      <c r="K102" s="693"/>
      <c r="L102" s="693"/>
      <c r="M102" s="694"/>
      <c r="N102" s="711"/>
      <c r="O102" s="711"/>
      <c r="P102" s="702"/>
      <c r="Q102" s="703"/>
    </row>
    <row r="103" spans="4:17" ht="21.75" customHeight="1">
      <c r="D103" s="486"/>
      <c r="E103" s="474"/>
      <c r="F103" s="473"/>
      <c r="G103" s="474"/>
      <c r="H103" s="433" t="s">
        <v>16</v>
      </c>
      <c r="I103" s="706" t="s">
        <v>28</v>
      </c>
      <c r="J103" s="689">
        <f>ROUNDUP(($AC$18+$AD$18+$AE$18+$AF$18)*$AD$32*$AD$41,0)</f>
        <v>730</v>
      </c>
      <c r="K103" s="690"/>
      <c r="L103" s="690"/>
      <c r="M103" s="691"/>
      <c r="N103" s="711">
        <v>1880</v>
      </c>
      <c r="O103" s="711">
        <v>1640</v>
      </c>
      <c r="P103" s="702">
        <v>100</v>
      </c>
      <c r="Q103" s="726">
        <f>SUM(J103,$N$103:$P$108)</f>
        <v>4350</v>
      </c>
    </row>
    <row r="104" spans="4:17" ht="21.75" customHeight="1">
      <c r="D104" s="486"/>
      <c r="E104" s="474"/>
      <c r="F104" s="473"/>
      <c r="G104" s="474"/>
      <c r="H104" s="434"/>
      <c r="I104" s="458"/>
      <c r="J104" s="692"/>
      <c r="K104" s="693"/>
      <c r="L104" s="693"/>
      <c r="M104" s="694"/>
      <c r="N104" s="711"/>
      <c r="O104" s="711"/>
      <c r="P104" s="702"/>
      <c r="Q104" s="703"/>
    </row>
    <row r="105" spans="4:17" ht="21.75" customHeight="1">
      <c r="D105" s="486"/>
      <c r="E105" s="474"/>
      <c r="F105" s="473"/>
      <c r="G105" s="474"/>
      <c r="H105" s="434"/>
      <c r="I105" s="708"/>
      <c r="J105" s="695"/>
      <c r="K105" s="696"/>
      <c r="L105" s="696"/>
      <c r="M105" s="697"/>
      <c r="N105" s="711"/>
      <c r="O105" s="711"/>
      <c r="P105" s="702"/>
      <c r="Q105" s="703"/>
    </row>
    <row r="106" spans="4:17" ht="21.75" customHeight="1">
      <c r="D106" s="486"/>
      <c r="E106" s="474"/>
      <c r="F106" s="473"/>
      <c r="G106" s="474"/>
      <c r="H106" s="434"/>
      <c r="I106" s="706" t="s">
        <v>29</v>
      </c>
      <c r="J106" s="692">
        <f>ROUNDUP(($AC$20+$AD$20+$AE$20+$AF$20)*$AD$32*$AD$41,0)</f>
        <v>887</v>
      </c>
      <c r="K106" s="693"/>
      <c r="L106" s="693"/>
      <c r="M106" s="694"/>
      <c r="N106" s="711"/>
      <c r="O106" s="711"/>
      <c r="P106" s="702"/>
      <c r="Q106" s="704">
        <f>SUM(J106,$N$103:$P$108)</f>
        <v>4507</v>
      </c>
    </row>
    <row r="107" spans="4:17" ht="21.75" customHeight="1">
      <c r="D107" s="486"/>
      <c r="E107" s="474"/>
      <c r="F107" s="473"/>
      <c r="G107" s="474"/>
      <c r="H107" s="434"/>
      <c r="I107" s="458"/>
      <c r="J107" s="692"/>
      <c r="K107" s="693"/>
      <c r="L107" s="693"/>
      <c r="M107" s="694"/>
      <c r="N107" s="711"/>
      <c r="O107" s="711"/>
      <c r="P107" s="702"/>
      <c r="Q107" s="703"/>
    </row>
    <row r="108" spans="4:17" ht="21.75" customHeight="1" thickBot="1">
      <c r="D108" s="487"/>
      <c r="E108" s="476"/>
      <c r="F108" s="475"/>
      <c r="G108" s="476"/>
      <c r="H108" s="435"/>
      <c r="I108" s="459"/>
      <c r="J108" s="713"/>
      <c r="K108" s="714"/>
      <c r="L108" s="714"/>
      <c r="M108" s="715"/>
      <c r="N108" s="712"/>
      <c r="O108" s="712"/>
      <c r="P108" s="705"/>
      <c r="Q108" s="707"/>
    </row>
    <row r="111" spans="1:3" ht="14.25">
      <c r="A111" s="11" t="s">
        <v>462</v>
      </c>
      <c r="B111" s="11"/>
      <c r="C111" s="11"/>
    </row>
    <row r="112" spans="1:14" ht="14.25">
      <c r="A112" s="11"/>
      <c r="B112" s="184" t="s">
        <v>507</v>
      </c>
      <c r="C112" s="149"/>
      <c r="D112" s="149"/>
      <c r="E112" s="149"/>
      <c r="F112" s="236"/>
      <c r="G112" s="245"/>
      <c r="H112" s="245"/>
      <c r="I112" s="245"/>
      <c r="J112" s="245"/>
      <c r="K112" s="247"/>
      <c r="L112" s="247"/>
      <c r="M112" s="247"/>
      <c r="N112" s="248"/>
    </row>
    <row r="113" spans="1:3" ht="14.25">
      <c r="A113" s="11"/>
      <c r="B113" s="11" t="s">
        <v>303</v>
      </c>
      <c r="C113" s="11"/>
    </row>
    <row r="114" spans="1:3" ht="19.5" customHeight="1">
      <c r="A114" s="12" t="s">
        <v>463</v>
      </c>
      <c r="C114" s="11"/>
    </row>
    <row r="115" spans="1:3" ht="14.25">
      <c r="A115" s="11"/>
      <c r="B115" s="11" t="s">
        <v>73</v>
      </c>
      <c r="C115" s="11"/>
    </row>
    <row r="116" spans="1:3" ht="14.25">
      <c r="A116" s="11" t="s">
        <v>30</v>
      </c>
      <c r="C116" s="11"/>
    </row>
    <row r="117" ht="14.25">
      <c r="A117" s="11" t="s">
        <v>300</v>
      </c>
    </row>
    <row r="126" ht="14.25">
      <c r="N126" s="5" t="s">
        <v>91</v>
      </c>
    </row>
  </sheetData>
  <sheetProtection/>
  <mergeCells count="233">
    <mergeCell ref="Q103:Q105"/>
    <mergeCell ref="I106:I108"/>
    <mergeCell ref="J106:M108"/>
    <mergeCell ref="Q106:Q108"/>
    <mergeCell ref="H103:H108"/>
    <mergeCell ref="I103:I105"/>
    <mergeCell ref="J103:M105"/>
    <mergeCell ref="N103:N108"/>
    <mergeCell ref="O103:O108"/>
    <mergeCell ref="P103:P108"/>
    <mergeCell ref="N97:N102"/>
    <mergeCell ref="O97:O102"/>
    <mergeCell ref="P97:P102"/>
    <mergeCell ref="Q97:Q99"/>
    <mergeCell ref="I100:I102"/>
    <mergeCell ref="J100:M102"/>
    <mergeCell ref="Q100:Q102"/>
    <mergeCell ref="Q91:Q93"/>
    <mergeCell ref="I94:I96"/>
    <mergeCell ref="J94:M96"/>
    <mergeCell ref="Q94:Q96"/>
    <mergeCell ref="D97:D108"/>
    <mergeCell ref="E97:E108"/>
    <mergeCell ref="F97:G108"/>
    <mergeCell ref="H97:H102"/>
    <mergeCell ref="I97:I99"/>
    <mergeCell ref="J97:M99"/>
    <mergeCell ref="H91:H96"/>
    <mergeCell ref="I91:I93"/>
    <mergeCell ref="J91:M93"/>
    <mergeCell ref="N91:N96"/>
    <mergeCell ref="O91:O96"/>
    <mergeCell ref="P91:P96"/>
    <mergeCell ref="J85:M87"/>
    <mergeCell ref="N85:N90"/>
    <mergeCell ref="O85:O90"/>
    <mergeCell ref="P85:P90"/>
    <mergeCell ref="Q85:Q87"/>
    <mergeCell ref="I88:I90"/>
    <mergeCell ref="J88:M90"/>
    <mergeCell ref="Q88:Q90"/>
    <mergeCell ref="P79:P84"/>
    <mergeCell ref="Q79:Q81"/>
    <mergeCell ref="I82:I84"/>
    <mergeCell ref="J82:M84"/>
    <mergeCell ref="Q82:Q84"/>
    <mergeCell ref="D85:D96"/>
    <mergeCell ref="E85:E96"/>
    <mergeCell ref="F85:G96"/>
    <mergeCell ref="H85:H90"/>
    <mergeCell ref="I85:I87"/>
    <mergeCell ref="P73:P78"/>
    <mergeCell ref="Q73:Q75"/>
    <mergeCell ref="I76:I78"/>
    <mergeCell ref="J76:M78"/>
    <mergeCell ref="Q76:Q78"/>
    <mergeCell ref="H79:H84"/>
    <mergeCell ref="I79:I81"/>
    <mergeCell ref="J79:M81"/>
    <mergeCell ref="N79:N84"/>
    <mergeCell ref="O79:O84"/>
    <mergeCell ref="P70:P72"/>
    <mergeCell ref="Q70:Q72"/>
    <mergeCell ref="D73:D84"/>
    <mergeCell ref="E73:E84"/>
    <mergeCell ref="F73:G84"/>
    <mergeCell ref="H73:H78"/>
    <mergeCell ref="I73:I75"/>
    <mergeCell ref="J73:M75"/>
    <mergeCell ref="N73:N78"/>
    <mergeCell ref="O73:O78"/>
    <mergeCell ref="N69:O69"/>
    <mergeCell ref="E70:G72"/>
    <mergeCell ref="H70:H72"/>
    <mergeCell ref="I70:I72"/>
    <mergeCell ref="J70:M72"/>
    <mergeCell ref="N70:N72"/>
    <mergeCell ref="O70:O72"/>
    <mergeCell ref="J25:M27"/>
    <mergeCell ref="F10:G21"/>
    <mergeCell ref="J22:M24"/>
    <mergeCell ref="D10:D57"/>
    <mergeCell ref="F67:J67"/>
    <mergeCell ref="J69:M69"/>
    <mergeCell ref="H10:H15"/>
    <mergeCell ref="I19:I21"/>
    <mergeCell ref="J19:M21"/>
    <mergeCell ref="J28:M30"/>
    <mergeCell ref="Q19:Q21"/>
    <mergeCell ref="E10:E33"/>
    <mergeCell ref="H16:H21"/>
    <mergeCell ref="I16:I18"/>
    <mergeCell ref="J16:M18"/>
    <mergeCell ref="N16:N21"/>
    <mergeCell ref="O16:O21"/>
    <mergeCell ref="O10:O15"/>
    <mergeCell ref="Q25:Q27"/>
    <mergeCell ref="F22:G33"/>
    <mergeCell ref="I10:I12"/>
    <mergeCell ref="J10:M12"/>
    <mergeCell ref="N10:N15"/>
    <mergeCell ref="P10:P15"/>
    <mergeCell ref="I13:I15"/>
    <mergeCell ref="J13:M15"/>
    <mergeCell ref="Q16:Q18"/>
    <mergeCell ref="N22:N27"/>
    <mergeCell ref="O22:O27"/>
    <mergeCell ref="Q10:Q12"/>
    <mergeCell ref="AD38:AD39"/>
    <mergeCell ref="P16:P21"/>
    <mergeCell ref="Q31:Q33"/>
    <mergeCell ref="Q28:Q30"/>
    <mergeCell ref="Q13:Q15"/>
    <mergeCell ref="P28:P33"/>
    <mergeCell ref="Q22:Q24"/>
    <mergeCell ref="N6:O6"/>
    <mergeCell ref="Q7:Q9"/>
    <mergeCell ref="I22:I24"/>
    <mergeCell ref="P22:P27"/>
    <mergeCell ref="F4:J4"/>
    <mergeCell ref="E7:G9"/>
    <mergeCell ref="H7:H9"/>
    <mergeCell ref="I7:I9"/>
    <mergeCell ref="J6:M6"/>
    <mergeCell ref="P7:P9"/>
    <mergeCell ref="O7:O9"/>
    <mergeCell ref="N7:N9"/>
    <mergeCell ref="N28:N33"/>
    <mergeCell ref="O28:O33"/>
    <mergeCell ref="H28:H33"/>
    <mergeCell ref="I28:I30"/>
    <mergeCell ref="I25:I27"/>
    <mergeCell ref="H22:H27"/>
    <mergeCell ref="I31:I33"/>
    <mergeCell ref="J31:M33"/>
    <mergeCell ref="J37:M39"/>
    <mergeCell ref="P34:P39"/>
    <mergeCell ref="J34:M36"/>
    <mergeCell ref="Q34:Q36"/>
    <mergeCell ref="Q37:Q39"/>
    <mergeCell ref="N34:N39"/>
    <mergeCell ref="O34:O39"/>
    <mergeCell ref="H40:H45"/>
    <mergeCell ref="I40:I42"/>
    <mergeCell ref="E46:E57"/>
    <mergeCell ref="F46:F57"/>
    <mergeCell ref="G46:G57"/>
    <mergeCell ref="H46:H51"/>
    <mergeCell ref="H52:H57"/>
    <mergeCell ref="E34:E45"/>
    <mergeCell ref="I37:I39"/>
    <mergeCell ref="I34:I36"/>
    <mergeCell ref="F34:G45"/>
    <mergeCell ref="H34:H39"/>
    <mergeCell ref="I46:I48"/>
    <mergeCell ref="Q40:Q42"/>
    <mergeCell ref="I43:I45"/>
    <mergeCell ref="Q43:Q45"/>
    <mergeCell ref="N40:N45"/>
    <mergeCell ref="O40:O45"/>
    <mergeCell ref="J40:M42"/>
    <mergeCell ref="N46:N51"/>
    <mergeCell ref="I55:I57"/>
    <mergeCell ref="Q55:Q57"/>
    <mergeCell ref="I52:I54"/>
    <mergeCell ref="I49:I51"/>
    <mergeCell ref="N52:N57"/>
    <mergeCell ref="O52:O57"/>
    <mergeCell ref="P52:P57"/>
    <mergeCell ref="J55:M57"/>
    <mergeCell ref="Q49:Q51"/>
    <mergeCell ref="O46:O51"/>
    <mergeCell ref="J52:M54"/>
    <mergeCell ref="J49:M51"/>
    <mergeCell ref="J46:M48"/>
    <mergeCell ref="J43:M45"/>
    <mergeCell ref="P46:P51"/>
    <mergeCell ref="Q52:Q54"/>
    <mergeCell ref="Q46:Q48"/>
    <mergeCell ref="P40:P45"/>
    <mergeCell ref="W11:W13"/>
    <mergeCell ref="X11:X13"/>
    <mergeCell ref="W18:W21"/>
    <mergeCell ref="X18:X19"/>
    <mergeCell ref="X20:X21"/>
    <mergeCell ref="AB11:AB13"/>
    <mergeCell ref="Y16:Y17"/>
    <mergeCell ref="Z11:Z13"/>
    <mergeCell ref="W14:W17"/>
    <mergeCell ref="X14:X15"/>
    <mergeCell ref="X16:X17"/>
    <mergeCell ref="AD20:AD21"/>
    <mergeCell ref="Z14:Z21"/>
    <mergeCell ref="AD18:AD19"/>
    <mergeCell ref="AD16:AD17"/>
    <mergeCell ref="AC20:AC21"/>
    <mergeCell ref="AA11:AA13"/>
    <mergeCell ref="AC14:AC15"/>
    <mergeCell ref="AC16:AC17"/>
    <mergeCell ref="AC18:AC19"/>
    <mergeCell ref="AD35:AD36"/>
    <mergeCell ref="AA14:AA21"/>
    <mergeCell ref="AB14:AB21"/>
    <mergeCell ref="AD23:AD24"/>
    <mergeCell ref="J7:M9"/>
    <mergeCell ref="AC10:AE10"/>
    <mergeCell ref="AC32:AC33"/>
    <mergeCell ref="AC35:AC36"/>
    <mergeCell ref="AD32:AD33"/>
    <mergeCell ref="Y18:Y19"/>
    <mergeCell ref="Y20:Y21"/>
    <mergeCell ref="AD14:AD15"/>
    <mergeCell ref="Y14:Y15"/>
    <mergeCell ref="Y11:Y13"/>
    <mergeCell ref="AC38:AC39"/>
    <mergeCell ref="AC41:AC42"/>
    <mergeCell ref="AE11:AE13"/>
    <mergeCell ref="AE14:AE15"/>
    <mergeCell ref="AE16:AE17"/>
    <mergeCell ref="AE18:AE19"/>
    <mergeCell ref="AC23:AC24"/>
    <mergeCell ref="AC26:AC27"/>
    <mergeCell ref="AD41:AD42"/>
    <mergeCell ref="AF11:AF13"/>
    <mergeCell ref="AF14:AF15"/>
    <mergeCell ref="AF16:AF17"/>
    <mergeCell ref="AF18:AF19"/>
    <mergeCell ref="AF20:AF21"/>
    <mergeCell ref="AC29:AC30"/>
    <mergeCell ref="AD29:AD30"/>
    <mergeCell ref="AE20:AE21"/>
    <mergeCell ref="AD26:AD27"/>
    <mergeCell ref="AD11:AD13"/>
  </mergeCell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71" r:id="rId1"/>
  <rowBreaks count="1" manualBreakCount="1">
    <brk id="64" max="18" man="1"/>
  </rowBreaks>
</worksheet>
</file>

<file path=xl/worksheets/sheet4.xml><?xml version="1.0" encoding="utf-8"?>
<worksheet xmlns="http://schemas.openxmlformats.org/spreadsheetml/2006/main" xmlns:r="http://schemas.openxmlformats.org/officeDocument/2006/relationships">
  <sheetPr>
    <tabColor indexed="47"/>
  </sheetPr>
  <dimension ref="A1:M64"/>
  <sheetViews>
    <sheetView view="pageBreakPreview" zoomScaleSheetLayoutView="100" zoomScalePageLayoutView="0" workbookViewId="0" topLeftCell="A1">
      <selection activeCell="E57" sqref="E57"/>
    </sheetView>
  </sheetViews>
  <sheetFormatPr defaultColWidth="9.00390625" defaultRowHeight="13.5"/>
  <cols>
    <col min="1" max="1" width="1.625" style="0" customWidth="1"/>
    <col min="2" max="2" width="34.50390625" style="0" customWidth="1"/>
    <col min="3" max="5" width="21.25390625" style="0" customWidth="1"/>
    <col min="6" max="6" width="9.875" style="0" hidden="1" customWidth="1"/>
    <col min="8" max="8" width="28.50390625" style="0" customWidth="1"/>
    <col min="9" max="10" width="5.75390625" style="0" customWidth="1"/>
    <col min="11" max="11" width="26.00390625" style="0" customWidth="1"/>
    <col min="12" max="12" width="15.625" style="0" customWidth="1"/>
    <col min="13" max="13" width="13.25390625" style="0" customWidth="1"/>
  </cols>
  <sheetData>
    <row r="1" spans="2:10" ht="22.5" customHeight="1" thickBot="1" thickTop="1">
      <c r="B1" s="14" t="s">
        <v>31</v>
      </c>
      <c r="E1" s="235" t="s">
        <v>224</v>
      </c>
      <c r="H1" s="238" t="s">
        <v>126</v>
      </c>
      <c r="I1" s="239"/>
      <c r="J1" s="239"/>
    </row>
    <row r="2" spans="2:13" ht="21.75" customHeight="1" thickBot="1" thickTop="1">
      <c r="B2" s="27" t="s">
        <v>32</v>
      </c>
      <c r="C2" s="28" t="s">
        <v>2</v>
      </c>
      <c r="D2" s="29" t="s">
        <v>20</v>
      </c>
      <c r="E2" s="30" t="s">
        <v>26</v>
      </c>
      <c r="H2" s="27" t="s">
        <v>32</v>
      </c>
      <c r="I2" s="171" t="s">
        <v>138</v>
      </c>
      <c r="J2" s="171" t="s">
        <v>139</v>
      </c>
      <c r="K2" s="28" t="s">
        <v>2</v>
      </c>
      <c r="L2" s="29" t="s">
        <v>20</v>
      </c>
      <c r="M2" s="30" t="s">
        <v>26</v>
      </c>
    </row>
    <row r="3" spans="2:13" ht="20.25" customHeight="1" thickTop="1">
      <c r="B3" s="32" t="s">
        <v>38</v>
      </c>
      <c r="C3" s="252" t="s">
        <v>319</v>
      </c>
      <c r="D3" s="742" t="s">
        <v>225</v>
      </c>
      <c r="E3" s="743"/>
      <c r="H3" s="32" t="s">
        <v>38</v>
      </c>
      <c r="I3" s="8"/>
      <c r="J3" s="8">
        <v>184</v>
      </c>
      <c r="K3" s="125" t="s">
        <v>226</v>
      </c>
      <c r="L3" s="597">
        <f>ROUNDUP(184*10.27*0.1,0)</f>
        <v>189</v>
      </c>
      <c r="M3" s="744"/>
    </row>
    <row r="4" spans="2:13" ht="20.25" customHeight="1">
      <c r="B4" s="158" t="s">
        <v>171</v>
      </c>
      <c r="C4" s="39" t="s">
        <v>227</v>
      </c>
      <c r="D4" s="745" t="s">
        <v>228</v>
      </c>
      <c r="E4" s="746"/>
      <c r="H4" s="31" t="s">
        <v>137</v>
      </c>
      <c r="I4" s="169">
        <v>6</v>
      </c>
      <c r="J4" s="172">
        <v>8</v>
      </c>
      <c r="K4" s="132">
        <f>ROUNDUP(($I$4)*10.27*0.1,0)</f>
        <v>7</v>
      </c>
      <c r="L4" s="575">
        <f>ROUNDUP(($J$4)*10.27*0.1,0)</f>
        <v>9</v>
      </c>
      <c r="M4" s="747"/>
    </row>
    <row r="5" spans="2:13" ht="20.25" customHeight="1">
      <c r="B5" s="158" t="s">
        <v>146</v>
      </c>
      <c r="C5" s="35"/>
      <c r="D5" s="745" t="s">
        <v>229</v>
      </c>
      <c r="E5" s="746"/>
      <c r="H5" s="31" t="s">
        <v>93</v>
      </c>
      <c r="I5" s="173"/>
      <c r="J5" s="172">
        <v>120</v>
      </c>
      <c r="K5" s="35"/>
      <c r="L5" s="575">
        <f>ROUNDUP($J$5*10.27*0.1,0)</f>
        <v>124</v>
      </c>
      <c r="M5" s="747"/>
    </row>
    <row r="6" spans="2:11" ht="20.25" customHeight="1">
      <c r="B6" s="195" t="s">
        <v>183</v>
      </c>
      <c r="C6" s="39" t="s">
        <v>431</v>
      </c>
      <c r="D6" s="750"/>
      <c r="E6" s="751"/>
      <c r="H6" s="207" t="s">
        <v>177</v>
      </c>
      <c r="I6" s="208">
        <v>3</v>
      </c>
      <c r="J6" s="205"/>
      <c r="K6" s="132">
        <f>ROUNDUP($I$6*10.27*0.1,0)</f>
        <v>4</v>
      </c>
    </row>
    <row r="7" spans="2:13" ht="20.25" customHeight="1">
      <c r="B7" s="158" t="s">
        <v>184</v>
      </c>
      <c r="C7" s="39" t="s">
        <v>432</v>
      </c>
      <c r="D7" s="750"/>
      <c r="E7" s="751"/>
      <c r="H7" s="158" t="s">
        <v>128</v>
      </c>
      <c r="I7" s="175">
        <v>10</v>
      </c>
      <c r="J7" s="174"/>
      <c r="K7" s="133">
        <f>ROUNDUP($I$7*10.27*0.1,0)</f>
        <v>11</v>
      </c>
      <c r="L7" s="750"/>
      <c r="M7" s="751"/>
    </row>
    <row r="8" spans="2:13" ht="12" customHeight="1">
      <c r="B8" s="194" t="s">
        <v>230</v>
      </c>
      <c r="C8" s="756" t="s">
        <v>231</v>
      </c>
      <c r="D8" s="758" t="s">
        <v>232</v>
      </c>
      <c r="E8" s="759"/>
      <c r="H8" s="762" t="s">
        <v>233</v>
      </c>
      <c r="I8" s="764">
        <v>240</v>
      </c>
      <c r="J8" s="766">
        <v>240</v>
      </c>
      <c r="K8" s="748">
        <f>ROUNDUP($I$8*10.27*0.1,0)</f>
        <v>247</v>
      </c>
      <c r="L8" s="192">
        <f>ROUNDUP($J$8*10.27*0.1,0)</f>
        <v>247</v>
      </c>
      <c r="M8" s="193"/>
    </row>
    <row r="9" spans="2:13" ht="12" customHeight="1">
      <c r="B9" s="196" t="s">
        <v>155</v>
      </c>
      <c r="C9" s="757"/>
      <c r="D9" s="760"/>
      <c r="E9" s="761"/>
      <c r="H9" s="763"/>
      <c r="I9" s="765"/>
      <c r="J9" s="767"/>
      <c r="K9" s="749"/>
      <c r="L9" s="190"/>
      <c r="M9" s="191"/>
    </row>
    <row r="10" spans="2:13" ht="12" customHeight="1">
      <c r="B10" s="197" t="s">
        <v>163</v>
      </c>
      <c r="C10" s="756" t="s">
        <v>202</v>
      </c>
      <c r="D10" s="758"/>
      <c r="E10" s="759"/>
      <c r="H10" s="781" t="s">
        <v>92</v>
      </c>
      <c r="I10" s="752">
        <v>240</v>
      </c>
      <c r="J10" s="754"/>
      <c r="K10" s="777">
        <f>ROUNDUP($I$10*10.27*0.1,0)</f>
        <v>247</v>
      </c>
      <c r="L10" s="779"/>
      <c r="M10" s="759"/>
    </row>
    <row r="11" spans="2:13" ht="12" customHeight="1">
      <c r="B11" s="195" t="s">
        <v>156</v>
      </c>
      <c r="C11" s="757"/>
      <c r="D11" s="760"/>
      <c r="E11" s="761"/>
      <c r="H11" s="782"/>
      <c r="I11" s="753"/>
      <c r="J11" s="755"/>
      <c r="K11" s="778"/>
      <c r="L11" s="780"/>
      <c r="M11" s="761"/>
    </row>
    <row r="12" spans="2:13" ht="20.25" customHeight="1">
      <c r="B12" s="78" t="s">
        <v>234</v>
      </c>
      <c r="C12" s="770" t="s">
        <v>235</v>
      </c>
      <c r="D12" s="771"/>
      <c r="E12" s="746"/>
      <c r="H12" s="78" t="s">
        <v>234</v>
      </c>
      <c r="I12" s="772">
        <v>511</v>
      </c>
      <c r="J12" s="773"/>
      <c r="K12" s="774">
        <f>ROUNDUP($I$12*10.27*0.1,0)</f>
        <v>525</v>
      </c>
      <c r="L12" s="775"/>
      <c r="M12" s="776"/>
    </row>
    <row r="13" spans="2:13" ht="20.25" customHeight="1">
      <c r="B13" s="37" t="s">
        <v>39</v>
      </c>
      <c r="C13" s="39" t="s">
        <v>236</v>
      </c>
      <c r="D13" s="785"/>
      <c r="E13" s="786"/>
      <c r="H13" s="37" t="s">
        <v>39</v>
      </c>
      <c r="I13" s="177">
        <v>30</v>
      </c>
      <c r="J13" s="176"/>
      <c r="K13" s="133">
        <f>ROUNDUP($I$13*10.27*0.1,0)</f>
        <v>31</v>
      </c>
      <c r="L13" s="789"/>
      <c r="M13" s="790"/>
    </row>
    <row r="14" spans="2:11" ht="20.25" customHeight="1">
      <c r="B14" s="38" t="s">
        <v>40</v>
      </c>
      <c r="C14" s="39" t="s">
        <v>237</v>
      </c>
      <c r="D14" s="785"/>
      <c r="E14" s="786"/>
      <c r="H14" s="38" t="s">
        <v>238</v>
      </c>
      <c r="I14" s="170">
        <v>362</v>
      </c>
      <c r="J14" s="176"/>
      <c r="K14" s="132">
        <f>ROUNDUP($I$14*10.27*0.1,0)</f>
        <v>372</v>
      </c>
    </row>
    <row r="15" spans="2:11" ht="20.25" customHeight="1">
      <c r="B15" s="168" t="s">
        <v>136</v>
      </c>
      <c r="C15" s="39" t="s">
        <v>239</v>
      </c>
      <c r="D15" s="785"/>
      <c r="E15" s="786"/>
      <c r="H15" s="168" t="s">
        <v>135</v>
      </c>
      <c r="I15" s="178">
        <v>800</v>
      </c>
      <c r="J15" s="176"/>
      <c r="K15" s="132">
        <f>ROUNDUP($I$15*10.27*0.1,0)</f>
        <v>822</v>
      </c>
    </row>
    <row r="16" spans="2:11" ht="20.25" customHeight="1">
      <c r="B16" s="168" t="s">
        <v>342</v>
      </c>
      <c r="C16" s="39" t="s">
        <v>343</v>
      </c>
      <c r="D16" s="785"/>
      <c r="E16" s="786"/>
      <c r="H16" s="294" t="s">
        <v>341</v>
      </c>
      <c r="I16" s="178">
        <v>11</v>
      </c>
      <c r="J16" s="176"/>
      <c r="K16" s="132">
        <f>ROUNDUP($I$16*10.27*0.1,0)</f>
        <v>12</v>
      </c>
    </row>
    <row r="17" spans="2:11" ht="20.25" customHeight="1">
      <c r="B17" s="38" t="s">
        <v>41</v>
      </c>
      <c r="C17" s="39" t="s">
        <v>240</v>
      </c>
      <c r="D17" s="785"/>
      <c r="E17" s="786"/>
      <c r="H17" s="38" t="s">
        <v>41</v>
      </c>
      <c r="I17" s="170">
        <v>28</v>
      </c>
      <c r="J17" s="176"/>
      <c r="K17" s="132">
        <f>ROUNDUP($I$17*10.27*0.1,0)</f>
        <v>29</v>
      </c>
    </row>
    <row r="18" spans="2:11" ht="20.25" customHeight="1">
      <c r="B18" s="38" t="s">
        <v>99</v>
      </c>
      <c r="C18" s="39" t="s">
        <v>241</v>
      </c>
      <c r="D18" s="785"/>
      <c r="E18" s="786"/>
      <c r="H18" s="38" t="s">
        <v>99</v>
      </c>
      <c r="I18" s="170">
        <v>400</v>
      </c>
      <c r="J18" s="176"/>
      <c r="K18" s="132">
        <f>ROUNDUP($I$18*10.27*0.1,0)</f>
        <v>411</v>
      </c>
    </row>
    <row r="19" spans="2:11" ht="20.25" customHeight="1">
      <c r="B19" s="38" t="s">
        <v>100</v>
      </c>
      <c r="C19" s="39" t="s">
        <v>242</v>
      </c>
      <c r="D19" s="785"/>
      <c r="E19" s="786"/>
      <c r="H19" s="38" t="s">
        <v>100</v>
      </c>
      <c r="I19" s="170">
        <v>100</v>
      </c>
      <c r="J19" s="176"/>
      <c r="K19" s="132">
        <f>ROUNDUP($I$19*10.27*0.1,0)</f>
        <v>103</v>
      </c>
    </row>
    <row r="20" spans="2:11" ht="20.25" customHeight="1">
      <c r="B20" s="209" t="s">
        <v>180</v>
      </c>
      <c r="C20" s="39" t="s">
        <v>243</v>
      </c>
      <c r="D20" s="785"/>
      <c r="E20" s="786"/>
      <c r="H20" s="209" t="s">
        <v>180</v>
      </c>
      <c r="I20" s="206">
        <v>300</v>
      </c>
      <c r="J20" s="210"/>
      <c r="K20" s="132">
        <f>ROUNDUP($I$20*10.27*0.1,0)</f>
        <v>309</v>
      </c>
    </row>
    <row r="21" spans="2:11" ht="18.75" customHeight="1">
      <c r="B21" s="209" t="s">
        <v>181</v>
      </c>
      <c r="C21" s="39" t="s">
        <v>244</v>
      </c>
      <c r="D21" s="785"/>
      <c r="E21" s="786"/>
      <c r="H21" s="209" t="s">
        <v>181</v>
      </c>
      <c r="I21" s="206">
        <v>400</v>
      </c>
      <c r="J21" s="210"/>
      <c r="K21" s="132">
        <f>ROUNDUP($I$21*10.27*0.1,0)</f>
        <v>411</v>
      </c>
    </row>
    <row r="22" spans="2:11" ht="12" customHeight="1">
      <c r="B22" s="198" t="s">
        <v>178</v>
      </c>
      <c r="C22" s="756" t="s">
        <v>350</v>
      </c>
      <c r="D22" s="785"/>
      <c r="E22" s="786"/>
      <c r="H22" s="762" t="s">
        <v>208</v>
      </c>
      <c r="I22" s="791">
        <v>239</v>
      </c>
      <c r="J22" s="768"/>
      <c r="K22" s="748">
        <f>ROUNDUP($I$22*10.27*0.1,0)</f>
        <v>246</v>
      </c>
    </row>
    <row r="23" spans="2:11" ht="12" customHeight="1">
      <c r="B23" s="199" t="s">
        <v>353</v>
      </c>
      <c r="C23" s="757"/>
      <c r="D23" s="785"/>
      <c r="E23" s="786"/>
      <c r="H23" s="763"/>
      <c r="I23" s="792"/>
      <c r="J23" s="769"/>
      <c r="K23" s="749"/>
    </row>
    <row r="24" spans="2:11" ht="12" customHeight="1">
      <c r="B24" s="198" t="s">
        <v>147</v>
      </c>
      <c r="C24" s="756" t="s">
        <v>351</v>
      </c>
      <c r="D24" s="785"/>
      <c r="E24" s="786"/>
      <c r="H24" s="762" t="s">
        <v>127</v>
      </c>
      <c r="I24" s="783">
        <v>480</v>
      </c>
      <c r="J24" s="768"/>
      <c r="K24" s="748">
        <f>ROUNDUP($I$24*10.27*0.1,0)</f>
        <v>493</v>
      </c>
    </row>
    <row r="25" spans="2:11" ht="20.25" customHeight="1">
      <c r="B25" s="199" t="s">
        <v>352</v>
      </c>
      <c r="C25" s="757"/>
      <c r="D25" s="785"/>
      <c r="E25" s="786"/>
      <c r="H25" s="763"/>
      <c r="I25" s="784"/>
      <c r="J25" s="769"/>
      <c r="K25" s="749"/>
    </row>
    <row r="26" spans="2:11" ht="20.25" customHeight="1">
      <c r="B26" s="207" t="s">
        <v>433</v>
      </c>
      <c r="C26" s="39" t="s">
        <v>434</v>
      </c>
      <c r="D26" s="785"/>
      <c r="E26" s="786"/>
      <c r="H26" s="207" t="s">
        <v>433</v>
      </c>
      <c r="I26" s="208">
        <v>20</v>
      </c>
      <c r="J26" s="205"/>
      <c r="K26" s="132">
        <f>ROUNDUP($I$26*10.27*0.1,0)</f>
        <v>21</v>
      </c>
    </row>
    <row r="27" spans="2:11" ht="20.25" customHeight="1">
      <c r="B27" s="199" t="s">
        <v>182</v>
      </c>
      <c r="C27" s="39" t="s">
        <v>245</v>
      </c>
      <c r="D27" s="785"/>
      <c r="E27" s="786"/>
      <c r="H27" s="199" t="s">
        <v>182</v>
      </c>
      <c r="I27" s="208">
        <v>125</v>
      </c>
      <c r="J27" s="205"/>
      <c r="K27" s="132">
        <f>ROUNDUP($I$27*10.27*0.1,0)</f>
        <v>129</v>
      </c>
    </row>
    <row r="28" spans="2:11" ht="20.25" customHeight="1">
      <c r="B28" s="207" t="s">
        <v>441</v>
      </c>
      <c r="C28" s="39" t="s">
        <v>442</v>
      </c>
      <c r="D28" s="785"/>
      <c r="E28" s="786"/>
      <c r="H28" s="195" t="s">
        <v>399</v>
      </c>
      <c r="I28" s="208">
        <v>40</v>
      </c>
      <c r="J28" s="205"/>
      <c r="K28" s="132">
        <f>ROUNDUP($I$28*10.27*0.1,0)</f>
        <v>42</v>
      </c>
    </row>
    <row r="29" spans="2:11" ht="20.25" customHeight="1">
      <c r="B29" s="78" t="s">
        <v>101</v>
      </c>
      <c r="C29" s="39" t="s">
        <v>246</v>
      </c>
      <c r="D29" s="785"/>
      <c r="E29" s="786"/>
      <c r="H29" s="38" t="s">
        <v>101</v>
      </c>
      <c r="I29" s="170">
        <v>450</v>
      </c>
      <c r="J29" s="176"/>
      <c r="K29" s="132">
        <f>ROUNDUP($I$29*10.27*0.1,0)</f>
        <v>463</v>
      </c>
    </row>
    <row r="30" spans="2:11" ht="20.25" customHeight="1">
      <c r="B30" s="38" t="s">
        <v>102</v>
      </c>
      <c r="C30" s="39" t="s">
        <v>247</v>
      </c>
      <c r="D30" s="785"/>
      <c r="E30" s="786"/>
      <c r="H30" s="38" t="s">
        <v>102</v>
      </c>
      <c r="I30" s="170">
        <v>480</v>
      </c>
      <c r="J30" s="176"/>
      <c r="K30" s="132">
        <f>ROUNDUP($I$30*10.27*0.1,0)</f>
        <v>493</v>
      </c>
    </row>
    <row r="31" spans="2:11" ht="20.25" customHeight="1">
      <c r="B31" s="78" t="s">
        <v>132</v>
      </c>
      <c r="C31" s="39" t="s">
        <v>244</v>
      </c>
      <c r="D31" s="785"/>
      <c r="E31" s="786"/>
      <c r="H31" s="38" t="s">
        <v>133</v>
      </c>
      <c r="I31" s="170">
        <v>400</v>
      </c>
      <c r="J31" s="176"/>
      <c r="K31" s="132">
        <f>ROUNDUP($I$31*10.27*0.1,0)</f>
        <v>411</v>
      </c>
    </row>
    <row r="32" spans="2:11" ht="20.25" customHeight="1">
      <c r="B32" s="38" t="s">
        <v>42</v>
      </c>
      <c r="C32" s="39" t="s">
        <v>248</v>
      </c>
      <c r="D32" s="785"/>
      <c r="E32" s="786"/>
      <c r="H32" s="38" t="s">
        <v>42</v>
      </c>
      <c r="I32" s="170">
        <v>500</v>
      </c>
      <c r="J32" s="176"/>
      <c r="K32" s="132">
        <f>ROUNDUP($I$32*10.27*0.1,0)</f>
        <v>514</v>
      </c>
    </row>
    <row r="33" spans="2:11" ht="20.25" customHeight="1">
      <c r="B33" s="38" t="s">
        <v>344</v>
      </c>
      <c r="C33" s="39" t="s">
        <v>346</v>
      </c>
      <c r="D33" s="785"/>
      <c r="E33" s="786"/>
      <c r="H33" s="38" t="s">
        <v>344</v>
      </c>
      <c r="I33" s="170">
        <v>600</v>
      </c>
      <c r="J33" s="176"/>
      <c r="K33" s="132">
        <f>ROUNDUP($I$33*10.27*0.1,0)</f>
        <v>617</v>
      </c>
    </row>
    <row r="34" spans="2:11" ht="20.25" customHeight="1">
      <c r="B34" s="38" t="s">
        <v>345</v>
      </c>
      <c r="C34" s="39" t="s">
        <v>244</v>
      </c>
      <c r="D34" s="785"/>
      <c r="E34" s="786"/>
      <c r="H34" s="38" t="s">
        <v>345</v>
      </c>
      <c r="I34" s="170">
        <v>400</v>
      </c>
      <c r="J34" s="176"/>
      <c r="K34" s="132">
        <f>ROUNDUP($I$34*10.27*0.1,0)</f>
        <v>411</v>
      </c>
    </row>
    <row r="35" spans="2:11" ht="18.75" customHeight="1">
      <c r="B35" s="167" t="s">
        <v>249</v>
      </c>
      <c r="C35" s="39" t="s">
        <v>243</v>
      </c>
      <c r="D35" s="787"/>
      <c r="E35" s="788"/>
      <c r="H35" s="38" t="s">
        <v>249</v>
      </c>
      <c r="I35" s="170">
        <v>300</v>
      </c>
      <c r="J35" s="176"/>
      <c r="K35" s="132">
        <f>ROUNDUP($I$35*10.27*0.1,0)</f>
        <v>309</v>
      </c>
    </row>
    <row r="36" spans="2:11" ht="53.25" customHeight="1">
      <c r="B36" s="40" t="s">
        <v>250</v>
      </c>
      <c r="C36" s="127" t="s">
        <v>348</v>
      </c>
      <c r="D36" s="170"/>
      <c r="E36" s="284"/>
      <c r="H36" s="78" t="s">
        <v>112</v>
      </c>
      <c r="I36" s="170">
        <v>1650</v>
      </c>
      <c r="J36" s="176"/>
      <c r="K36" s="132">
        <f>ROUNDUP($I$36*10.27*0.1,0)</f>
        <v>1695</v>
      </c>
    </row>
    <row r="37" spans="2:11" ht="20.25" customHeight="1">
      <c r="B37" s="31" t="s">
        <v>33</v>
      </c>
      <c r="C37" s="795" t="s">
        <v>34</v>
      </c>
      <c r="D37" s="796"/>
      <c r="E37" s="797"/>
      <c r="H37" s="168" t="s">
        <v>251</v>
      </c>
      <c r="I37" s="170">
        <v>820</v>
      </c>
      <c r="J37" s="176"/>
      <c r="K37" s="132">
        <f>ROUNDUP($I$37*10.27*0.1,0)</f>
        <v>843</v>
      </c>
    </row>
    <row r="38" spans="2:11" ht="20.25" customHeight="1">
      <c r="B38" s="31" t="s">
        <v>35</v>
      </c>
      <c r="C38" s="795" t="s">
        <v>252</v>
      </c>
      <c r="D38" s="796"/>
      <c r="E38" s="797"/>
      <c r="H38" s="295" t="s">
        <v>114</v>
      </c>
      <c r="I38" s="170">
        <v>160</v>
      </c>
      <c r="J38" s="176"/>
      <c r="K38" s="132">
        <f>ROUNDUP($I$38*10.27*0.1,0)</f>
        <v>165</v>
      </c>
    </row>
    <row r="39" spans="2:11" ht="20.25" customHeight="1" thickBot="1">
      <c r="B39" s="32" t="s">
        <v>36</v>
      </c>
      <c r="C39" s="795" t="s">
        <v>253</v>
      </c>
      <c r="D39" s="796"/>
      <c r="E39" s="797"/>
      <c r="F39" s="33"/>
      <c r="H39" s="179" t="s">
        <v>347</v>
      </c>
      <c r="I39" s="170">
        <v>80</v>
      </c>
      <c r="J39" s="176"/>
      <c r="K39" s="132">
        <f>ROUNDUP($I$39*10.27*0.1,0)</f>
        <v>83</v>
      </c>
    </row>
    <row r="40" spans="2:5" ht="20.25" customHeight="1">
      <c r="B40" s="32" t="s">
        <v>37</v>
      </c>
      <c r="C40" s="795" t="s">
        <v>254</v>
      </c>
      <c r="D40" s="796"/>
      <c r="E40" s="797"/>
    </row>
    <row r="41" spans="2:5" ht="20.25" customHeight="1">
      <c r="B41" s="32" t="s">
        <v>43</v>
      </c>
      <c r="C41" s="795" t="s">
        <v>373</v>
      </c>
      <c r="D41" s="796"/>
      <c r="E41" s="797"/>
    </row>
    <row r="42" spans="2:5" ht="20.25" customHeight="1">
      <c r="B42" s="32" t="s">
        <v>44</v>
      </c>
      <c r="C42" s="795" t="s">
        <v>374</v>
      </c>
      <c r="D42" s="796"/>
      <c r="E42" s="797"/>
    </row>
    <row r="43" spans="1:5" ht="20.25" customHeight="1">
      <c r="A43" s="42"/>
      <c r="B43" s="41" t="s">
        <v>45</v>
      </c>
      <c r="C43" s="795" t="s">
        <v>375</v>
      </c>
      <c r="D43" s="796"/>
      <c r="E43" s="797"/>
    </row>
    <row r="44" spans="1:6" ht="21" customHeight="1" thickBot="1">
      <c r="A44" s="186"/>
      <c r="B44" s="43" t="s">
        <v>255</v>
      </c>
      <c r="C44" s="798" t="s">
        <v>256</v>
      </c>
      <c r="D44" s="799"/>
      <c r="E44" s="800"/>
      <c r="F44" s="94"/>
    </row>
    <row r="45" spans="1:6" ht="14.25" customHeight="1">
      <c r="A45" s="186" t="s">
        <v>315</v>
      </c>
      <c r="B45" s="185"/>
      <c r="C45" s="8"/>
      <c r="D45" s="8"/>
      <c r="E45" s="8"/>
      <c r="F45" s="94"/>
    </row>
    <row r="46" spans="1:6" ht="12.75" customHeight="1">
      <c r="A46" s="186" t="s">
        <v>257</v>
      </c>
      <c r="B46" s="95"/>
      <c r="C46" s="73"/>
      <c r="D46" s="73"/>
      <c r="E46" s="73"/>
      <c r="F46" s="88"/>
    </row>
    <row r="47" spans="1:6" ht="14.25" customHeight="1">
      <c r="A47" s="57" t="s">
        <v>145</v>
      </c>
      <c r="B47" s="187"/>
      <c r="C47" s="88"/>
      <c r="D47" s="88"/>
      <c r="E47" s="88"/>
      <c r="F47" s="180"/>
    </row>
    <row r="48" spans="1:6" ht="14.25" customHeight="1">
      <c r="A48" s="95" t="s">
        <v>151</v>
      </c>
      <c r="B48" s="95"/>
      <c r="C48" s="180" t="s">
        <v>80</v>
      </c>
      <c r="D48" s="180"/>
      <c r="E48" s="180" t="s">
        <v>81</v>
      </c>
      <c r="F48" s="93"/>
    </row>
    <row r="49" spans="1:6" ht="14.25" customHeight="1">
      <c r="A49" s="93"/>
      <c r="B49" s="296" t="s">
        <v>82</v>
      </c>
      <c r="C49" s="95" t="s">
        <v>83</v>
      </c>
      <c r="D49" s="95"/>
      <c r="E49" s="1"/>
      <c r="F49" s="92"/>
    </row>
    <row r="50" spans="1:6" ht="14.25" customHeight="1">
      <c r="A50" s="180" t="s">
        <v>152</v>
      </c>
      <c r="B50" s="180"/>
      <c r="C50" s="180"/>
      <c r="D50" s="793" t="s">
        <v>88</v>
      </c>
      <c r="E50" s="794"/>
      <c r="F50" s="93"/>
    </row>
    <row r="51" spans="1:6" ht="14.25" customHeight="1">
      <c r="A51" s="180" t="s">
        <v>153</v>
      </c>
      <c r="B51" s="180"/>
      <c r="C51" s="180" t="s">
        <v>84</v>
      </c>
      <c r="D51" s="180"/>
      <c r="E51" s="92"/>
      <c r="F51" s="93"/>
    </row>
    <row r="52" spans="1:6" ht="14.25" customHeight="1">
      <c r="A52" s="186" t="s">
        <v>349</v>
      </c>
      <c r="B52" s="91"/>
      <c r="C52" s="92"/>
      <c r="D52" s="93"/>
      <c r="E52" s="93"/>
      <c r="F52" s="94"/>
    </row>
    <row r="53" spans="1:6" ht="14.25" customHeight="1">
      <c r="A53" s="95" t="s">
        <v>154</v>
      </c>
      <c r="B53" s="96"/>
      <c r="C53" s="73"/>
      <c r="D53" s="73"/>
      <c r="E53" s="73"/>
      <c r="F53" s="94"/>
    </row>
    <row r="54" spans="1:6" ht="14.25" customHeight="1">
      <c r="A54" s="95"/>
      <c r="B54" s="95" t="s">
        <v>258</v>
      </c>
      <c r="C54" s="73"/>
      <c r="D54" s="73"/>
      <c r="E54" s="73"/>
      <c r="F54" s="94"/>
    </row>
    <row r="55" spans="1:6" ht="14.25" customHeight="1">
      <c r="A55" s="186" t="s">
        <v>259</v>
      </c>
      <c r="B55" s="95"/>
      <c r="C55" s="73"/>
      <c r="D55" s="73"/>
      <c r="E55" s="73"/>
      <c r="F55" s="94"/>
    </row>
    <row r="56" spans="1:6" ht="14.25" customHeight="1">
      <c r="A56" s="95"/>
      <c r="B56" s="96"/>
      <c r="C56" s="107"/>
      <c r="D56" s="107" t="s">
        <v>90</v>
      </c>
      <c r="E56" s="73"/>
      <c r="F56" s="93"/>
    </row>
    <row r="57" spans="1:6" ht="15" customHeight="1">
      <c r="A57" s="57"/>
      <c r="B57" s="91"/>
      <c r="C57" s="92"/>
      <c r="D57" s="93"/>
      <c r="E57" s="73"/>
      <c r="F57" s="93"/>
    </row>
    <row r="58" spans="1:6" ht="13.5">
      <c r="A58" s="91"/>
      <c r="B58" s="91"/>
      <c r="C58" s="107"/>
      <c r="D58" s="93"/>
      <c r="E58" s="73"/>
      <c r="F58" s="94"/>
    </row>
    <row r="59" spans="1:6" ht="14.25">
      <c r="A59" s="8"/>
      <c r="B59" s="8"/>
      <c r="C59" s="90"/>
      <c r="D59" s="73"/>
      <c r="E59" s="1"/>
      <c r="F59" s="94"/>
    </row>
    <row r="60" spans="1:5" ht="13.5">
      <c r="A60" s="95"/>
      <c r="B60" s="95"/>
      <c r="C60" s="73"/>
      <c r="D60" s="73"/>
      <c r="E60" s="44"/>
    </row>
    <row r="61" spans="1:5" ht="13.5">
      <c r="A61" s="44"/>
      <c r="B61" s="44"/>
      <c r="C61" s="1"/>
      <c r="D61" s="1"/>
      <c r="E61" s="1"/>
    </row>
    <row r="62" spans="1:5" ht="13.5">
      <c r="A62" s="44"/>
      <c r="B62" s="44"/>
      <c r="C62" s="1"/>
      <c r="D62" s="1"/>
      <c r="E62" s="13"/>
    </row>
    <row r="63" spans="1:4" ht="13.5">
      <c r="A63" s="44"/>
      <c r="B63" s="44"/>
      <c r="C63" s="44"/>
      <c r="D63" s="44"/>
    </row>
    <row r="64" spans="2:5" ht="13.5">
      <c r="B64" s="1"/>
      <c r="C64" s="1"/>
      <c r="D64" s="1"/>
      <c r="E64" s="45"/>
    </row>
  </sheetData>
  <sheetProtection/>
  <mergeCells count="46">
    <mergeCell ref="D50:E50"/>
    <mergeCell ref="C37:E37"/>
    <mergeCell ref="C44:E44"/>
    <mergeCell ref="C43:E43"/>
    <mergeCell ref="C42:E42"/>
    <mergeCell ref="C41:E41"/>
    <mergeCell ref="C40:E40"/>
    <mergeCell ref="C39:E39"/>
    <mergeCell ref="C38:E38"/>
    <mergeCell ref="C24:C25"/>
    <mergeCell ref="H24:H25"/>
    <mergeCell ref="I24:I25"/>
    <mergeCell ref="D13:E35"/>
    <mergeCell ref="L13:M13"/>
    <mergeCell ref="C22:C23"/>
    <mergeCell ref="H22:H23"/>
    <mergeCell ref="J24:J25"/>
    <mergeCell ref="K24:K25"/>
    <mergeCell ref="I22:I23"/>
    <mergeCell ref="J22:J23"/>
    <mergeCell ref="C12:E12"/>
    <mergeCell ref="I12:J12"/>
    <mergeCell ref="K12:M12"/>
    <mergeCell ref="K22:K23"/>
    <mergeCell ref="K10:K11"/>
    <mergeCell ref="L10:M11"/>
    <mergeCell ref="C10:C11"/>
    <mergeCell ref="D10:E11"/>
    <mergeCell ref="H10:H11"/>
    <mergeCell ref="I10:I11"/>
    <mergeCell ref="J10:J11"/>
    <mergeCell ref="C8:C9"/>
    <mergeCell ref="D8:E9"/>
    <mergeCell ref="H8:H9"/>
    <mergeCell ref="I8:I9"/>
    <mergeCell ref="J8:J9"/>
    <mergeCell ref="D3:E3"/>
    <mergeCell ref="L3:M3"/>
    <mergeCell ref="D4:E4"/>
    <mergeCell ref="L4:M4"/>
    <mergeCell ref="K8:K9"/>
    <mergeCell ref="D5:E5"/>
    <mergeCell ref="L5:M5"/>
    <mergeCell ref="D6:E6"/>
    <mergeCell ref="D7:E7"/>
    <mergeCell ref="L7:M7"/>
  </mergeCells>
  <printOptions/>
  <pageMargins left="0.3937007874015748" right="0.1968503937007874" top="0.1968503937007874" bottom="0.1968503937007874" header="0.31496062992125984" footer="0.31496062992125984"/>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indexed="47"/>
  </sheetPr>
  <dimension ref="A1:M65"/>
  <sheetViews>
    <sheetView view="pageBreakPreview" zoomScaleSheetLayoutView="100" zoomScalePageLayoutView="0" workbookViewId="0" topLeftCell="A1">
      <selection activeCell="E58" sqref="E58"/>
    </sheetView>
  </sheetViews>
  <sheetFormatPr defaultColWidth="9.00390625" defaultRowHeight="13.5"/>
  <cols>
    <col min="1" max="1" width="1.625" style="0" customWidth="1"/>
    <col min="2" max="2" width="34.50390625" style="0" customWidth="1"/>
    <col min="3" max="5" width="21.25390625" style="0" customWidth="1"/>
    <col min="6" max="6" width="9.875" style="0" hidden="1" customWidth="1"/>
    <col min="8" max="8" width="28.50390625" style="0" customWidth="1"/>
    <col min="9" max="10" width="5.75390625" style="0" customWidth="1"/>
    <col min="11" max="11" width="26.00390625" style="0" customWidth="1"/>
    <col min="12" max="12" width="15.625" style="0" customWidth="1"/>
    <col min="13" max="13" width="13.25390625" style="0" customWidth="1"/>
  </cols>
  <sheetData>
    <row r="1" spans="2:10" ht="22.5" customHeight="1" thickBot="1" thickTop="1">
      <c r="B1" s="14" t="s">
        <v>31</v>
      </c>
      <c r="C1" s="26"/>
      <c r="E1" s="235" t="s">
        <v>199</v>
      </c>
      <c r="H1" s="238" t="s">
        <v>117</v>
      </c>
      <c r="I1" s="239"/>
      <c r="J1" s="239"/>
    </row>
    <row r="2" spans="2:13" ht="21.75" customHeight="1" thickBot="1" thickTop="1">
      <c r="B2" s="27" t="s">
        <v>32</v>
      </c>
      <c r="C2" s="28" t="s">
        <v>2</v>
      </c>
      <c r="D2" s="29" t="s">
        <v>20</v>
      </c>
      <c r="E2" s="30" t="s">
        <v>26</v>
      </c>
      <c r="H2" s="27" t="s">
        <v>32</v>
      </c>
      <c r="I2" s="171" t="s">
        <v>138</v>
      </c>
      <c r="J2" s="171" t="s">
        <v>139</v>
      </c>
      <c r="K2" s="28" t="s">
        <v>2</v>
      </c>
      <c r="L2" s="29" t="s">
        <v>20</v>
      </c>
      <c r="M2" s="30" t="s">
        <v>26</v>
      </c>
    </row>
    <row r="3" spans="2:13" ht="20.25" customHeight="1" thickTop="1">
      <c r="B3" s="32" t="s">
        <v>38</v>
      </c>
      <c r="C3" s="252" t="s">
        <v>319</v>
      </c>
      <c r="D3" s="742" t="s">
        <v>260</v>
      </c>
      <c r="E3" s="743"/>
      <c r="H3" s="32" t="s">
        <v>38</v>
      </c>
      <c r="I3" s="8"/>
      <c r="J3" s="8">
        <v>184</v>
      </c>
      <c r="K3" s="125" t="s">
        <v>200</v>
      </c>
      <c r="L3" s="597">
        <f>ROUNDUP(184*10.27*0.2,0)</f>
        <v>378</v>
      </c>
      <c r="M3" s="744"/>
    </row>
    <row r="4" spans="2:13" ht="20.25" customHeight="1">
      <c r="B4" s="158" t="s">
        <v>171</v>
      </c>
      <c r="C4" s="39" t="s">
        <v>201</v>
      </c>
      <c r="D4" s="745" t="s">
        <v>261</v>
      </c>
      <c r="E4" s="746"/>
      <c r="H4" s="31" t="s">
        <v>137</v>
      </c>
      <c r="I4" s="169">
        <v>6</v>
      </c>
      <c r="J4" s="172">
        <v>8</v>
      </c>
      <c r="K4" s="132">
        <f>ROUNDUP(($I$4)*10.27*0.2,0)</f>
        <v>13</v>
      </c>
      <c r="L4" s="575">
        <f>ROUNDUP(($J$4)*10.27*0.2,0)</f>
        <v>17</v>
      </c>
      <c r="M4" s="747"/>
    </row>
    <row r="5" spans="2:13" ht="20.25" customHeight="1">
      <c r="B5" s="158" t="s">
        <v>146</v>
      </c>
      <c r="C5" s="35"/>
      <c r="D5" s="745" t="s">
        <v>267</v>
      </c>
      <c r="E5" s="746"/>
      <c r="H5" s="31" t="s">
        <v>93</v>
      </c>
      <c r="I5" s="173"/>
      <c r="J5" s="172">
        <v>120</v>
      </c>
      <c r="K5" s="35"/>
      <c r="L5" s="575">
        <f>ROUNDUP($J$5*10.27*0.2,0)</f>
        <v>247</v>
      </c>
      <c r="M5" s="747"/>
    </row>
    <row r="6" spans="2:11" ht="20.25" customHeight="1">
      <c r="B6" s="195" t="s">
        <v>183</v>
      </c>
      <c r="C6" s="39" t="s">
        <v>437</v>
      </c>
      <c r="D6" s="750"/>
      <c r="E6" s="751"/>
      <c r="H6" s="207" t="s">
        <v>177</v>
      </c>
      <c r="I6" s="208">
        <v>10</v>
      </c>
      <c r="J6" s="205"/>
      <c r="K6" s="132">
        <f>ROUNDUP($I$6*10.27*0.2,0)</f>
        <v>21</v>
      </c>
    </row>
    <row r="7" spans="2:13" ht="20.25" customHeight="1">
      <c r="B7" s="158" t="s">
        <v>184</v>
      </c>
      <c r="C7" s="237" t="s">
        <v>438</v>
      </c>
      <c r="D7" s="750"/>
      <c r="E7" s="751"/>
      <c r="H7" s="158" t="s">
        <v>128</v>
      </c>
      <c r="I7" s="175">
        <v>100</v>
      </c>
      <c r="J7" s="174"/>
      <c r="K7" s="133">
        <f>ROUNDUP($I$7*10.27*0.2,0)</f>
        <v>206</v>
      </c>
      <c r="L7" s="750"/>
      <c r="M7" s="751"/>
    </row>
    <row r="8" spans="2:13" ht="12" customHeight="1">
      <c r="B8" s="194" t="s">
        <v>203</v>
      </c>
      <c r="C8" s="756" t="s">
        <v>204</v>
      </c>
      <c r="D8" s="758" t="s">
        <v>264</v>
      </c>
      <c r="E8" s="759"/>
      <c r="H8" s="762" t="s">
        <v>205</v>
      </c>
      <c r="I8" s="764">
        <v>240</v>
      </c>
      <c r="J8" s="801">
        <v>240</v>
      </c>
      <c r="K8" s="748">
        <f>ROUNDUP($I$8*10.27*0.2,0)</f>
        <v>493</v>
      </c>
      <c r="L8" s="588">
        <f>ROUNDUP($J$8*10.27*0.2,0)</f>
        <v>493</v>
      </c>
      <c r="M8" s="803"/>
    </row>
    <row r="9" spans="2:13" ht="12" customHeight="1">
      <c r="B9" s="196" t="s">
        <v>155</v>
      </c>
      <c r="C9" s="757"/>
      <c r="D9" s="760"/>
      <c r="E9" s="761"/>
      <c r="H9" s="763"/>
      <c r="I9" s="765"/>
      <c r="J9" s="802"/>
      <c r="K9" s="749"/>
      <c r="L9" s="804"/>
      <c r="M9" s="805"/>
    </row>
    <row r="10" spans="2:13" ht="12" customHeight="1">
      <c r="B10" s="197" t="s">
        <v>163</v>
      </c>
      <c r="C10" s="806" t="s">
        <v>204</v>
      </c>
      <c r="D10" s="779"/>
      <c r="E10" s="759"/>
      <c r="H10" s="781" t="s">
        <v>92</v>
      </c>
      <c r="I10" s="752">
        <v>240</v>
      </c>
      <c r="J10" s="768"/>
      <c r="K10" s="777">
        <f>ROUNDUP($I$10*10.27*0.2,0)</f>
        <v>493</v>
      </c>
      <c r="L10" s="779"/>
      <c r="M10" s="759"/>
    </row>
    <row r="11" spans="2:13" ht="12" customHeight="1">
      <c r="B11" s="195" t="s">
        <v>156</v>
      </c>
      <c r="C11" s="807"/>
      <c r="D11" s="780"/>
      <c r="E11" s="761"/>
      <c r="H11" s="782"/>
      <c r="I11" s="753"/>
      <c r="J11" s="769"/>
      <c r="K11" s="778"/>
      <c r="L11" s="780"/>
      <c r="M11" s="761"/>
    </row>
    <row r="12" spans="2:13" ht="20.25" customHeight="1">
      <c r="B12" s="78" t="s">
        <v>206</v>
      </c>
      <c r="C12" s="770" t="s">
        <v>266</v>
      </c>
      <c r="D12" s="771"/>
      <c r="E12" s="746"/>
      <c r="H12" s="78" t="s">
        <v>206</v>
      </c>
      <c r="I12" s="772">
        <v>511</v>
      </c>
      <c r="J12" s="773"/>
      <c r="K12" s="774">
        <f>ROUNDUP($I$12*10.27*0.2,0)</f>
        <v>1050</v>
      </c>
      <c r="L12" s="775"/>
      <c r="M12" s="776"/>
    </row>
    <row r="13" spans="2:13" ht="20.25" customHeight="1">
      <c r="B13" s="37" t="s">
        <v>39</v>
      </c>
      <c r="C13" s="36" t="s">
        <v>289</v>
      </c>
      <c r="D13" s="785"/>
      <c r="E13" s="786"/>
      <c r="H13" s="37" t="s">
        <v>39</v>
      </c>
      <c r="I13" s="177">
        <v>30</v>
      </c>
      <c r="J13" s="176"/>
      <c r="K13" s="133">
        <f>ROUNDUP($I$13*10.27*0.2,0)</f>
        <v>62</v>
      </c>
      <c r="L13" s="789"/>
      <c r="M13" s="790"/>
    </row>
    <row r="14" spans="2:11" ht="20.25" customHeight="1">
      <c r="B14" s="38" t="s">
        <v>40</v>
      </c>
      <c r="C14" s="39" t="s">
        <v>271</v>
      </c>
      <c r="D14" s="785"/>
      <c r="E14" s="786"/>
      <c r="H14" s="38" t="s">
        <v>40</v>
      </c>
      <c r="I14" s="170">
        <v>362</v>
      </c>
      <c r="J14" s="176"/>
      <c r="K14" s="132">
        <f>ROUNDUP($I$14*10.27*0.2,0)</f>
        <v>744</v>
      </c>
    </row>
    <row r="15" spans="2:11" ht="20.25" customHeight="1">
      <c r="B15" s="168" t="s">
        <v>136</v>
      </c>
      <c r="C15" s="39" t="s">
        <v>308</v>
      </c>
      <c r="D15" s="785"/>
      <c r="E15" s="786"/>
      <c r="H15" s="168" t="s">
        <v>135</v>
      </c>
      <c r="I15" s="178">
        <v>800</v>
      </c>
      <c r="J15" s="176"/>
      <c r="K15" s="132">
        <f>ROUNDUP($I$15*10.27*0.2,0)</f>
        <v>1644</v>
      </c>
    </row>
    <row r="16" spans="2:11" ht="20.25" customHeight="1">
      <c r="B16" s="168" t="s">
        <v>342</v>
      </c>
      <c r="C16" s="39" t="s">
        <v>359</v>
      </c>
      <c r="D16" s="785"/>
      <c r="E16" s="786"/>
      <c r="H16" s="294" t="s">
        <v>341</v>
      </c>
      <c r="I16" s="178">
        <v>11</v>
      </c>
      <c r="J16" s="176"/>
      <c r="K16" s="132">
        <f>ROUNDUP($I$16*10.27*0.2,0)</f>
        <v>23</v>
      </c>
    </row>
    <row r="17" spans="2:11" ht="20.25" customHeight="1">
      <c r="B17" s="38" t="s">
        <v>41</v>
      </c>
      <c r="C17" s="36" t="s">
        <v>288</v>
      </c>
      <c r="D17" s="785"/>
      <c r="E17" s="786"/>
      <c r="H17" s="38" t="s">
        <v>41</v>
      </c>
      <c r="I17" s="170">
        <v>28</v>
      </c>
      <c r="J17" s="176"/>
      <c r="K17" s="132">
        <f>ROUNDUP($I$17*10.27*0.2,0)</f>
        <v>58</v>
      </c>
    </row>
    <row r="18" spans="2:11" ht="20.25" customHeight="1">
      <c r="B18" s="38" t="s">
        <v>99</v>
      </c>
      <c r="C18" s="39" t="s">
        <v>272</v>
      </c>
      <c r="D18" s="785"/>
      <c r="E18" s="786"/>
      <c r="H18" s="38" t="s">
        <v>99</v>
      </c>
      <c r="I18" s="170">
        <v>400</v>
      </c>
      <c r="J18" s="176"/>
      <c r="K18" s="132">
        <f>ROUNDUP($I$18*10.27*0.2,0)</f>
        <v>822</v>
      </c>
    </row>
    <row r="19" spans="2:11" ht="20.25" customHeight="1">
      <c r="B19" s="38" t="s">
        <v>100</v>
      </c>
      <c r="C19" s="39" t="s">
        <v>273</v>
      </c>
      <c r="D19" s="785"/>
      <c r="E19" s="786"/>
      <c r="H19" s="38" t="s">
        <v>100</v>
      </c>
      <c r="I19" s="170">
        <v>100</v>
      </c>
      <c r="J19" s="176"/>
      <c r="K19" s="132">
        <f>ROUNDUP($I$19*10.27*0.2,0)</f>
        <v>206</v>
      </c>
    </row>
    <row r="20" spans="2:11" ht="20.25" customHeight="1">
      <c r="B20" s="209" t="s">
        <v>180</v>
      </c>
      <c r="C20" s="39" t="s">
        <v>287</v>
      </c>
      <c r="D20" s="785"/>
      <c r="E20" s="786"/>
      <c r="H20" s="209" t="s">
        <v>180</v>
      </c>
      <c r="I20" s="206">
        <v>300</v>
      </c>
      <c r="J20" s="210"/>
      <c r="K20" s="132">
        <f>ROUNDUP($I$18*10.27*0.2,0)</f>
        <v>822</v>
      </c>
    </row>
    <row r="21" spans="2:11" ht="20.25" customHeight="1">
      <c r="B21" s="209" t="s">
        <v>181</v>
      </c>
      <c r="C21" s="39" t="s">
        <v>286</v>
      </c>
      <c r="D21" s="785"/>
      <c r="E21" s="786"/>
      <c r="H21" s="209" t="s">
        <v>181</v>
      </c>
      <c r="I21" s="206">
        <v>400</v>
      </c>
      <c r="J21" s="210"/>
      <c r="K21" s="132">
        <f>ROUNDUP($I$19*10.27*0.2,0)</f>
        <v>206</v>
      </c>
    </row>
    <row r="22" spans="2:11" ht="12" customHeight="1">
      <c r="B22" s="198" t="s">
        <v>178</v>
      </c>
      <c r="C22" s="756" t="s">
        <v>354</v>
      </c>
      <c r="D22" s="785"/>
      <c r="E22" s="786"/>
      <c r="H22" s="762" t="s">
        <v>208</v>
      </c>
      <c r="I22" s="791">
        <v>239</v>
      </c>
      <c r="J22" s="768"/>
      <c r="K22" s="748">
        <f>ROUNDUP($I$22*10.27*0.2,0)</f>
        <v>491</v>
      </c>
    </row>
    <row r="23" spans="2:11" ht="12" customHeight="1">
      <c r="B23" s="199" t="s">
        <v>179</v>
      </c>
      <c r="C23" s="757"/>
      <c r="D23" s="785"/>
      <c r="E23" s="786"/>
      <c r="H23" s="763"/>
      <c r="I23" s="792"/>
      <c r="J23" s="769"/>
      <c r="K23" s="749"/>
    </row>
    <row r="24" spans="2:11" ht="12" customHeight="1">
      <c r="B24" s="198" t="s">
        <v>147</v>
      </c>
      <c r="C24" s="756" t="s">
        <v>210</v>
      </c>
      <c r="D24" s="785"/>
      <c r="E24" s="786"/>
      <c r="H24" s="762" t="s">
        <v>127</v>
      </c>
      <c r="I24" s="783">
        <v>480</v>
      </c>
      <c r="J24" s="768"/>
      <c r="K24" s="748">
        <f>ROUNDUP($I$24*10.27*0.2,0)</f>
        <v>986</v>
      </c>
    </row>
    <row r="25" spans="2:11" ht="12" customHeight="1">
      <c r="B25" s="199" t="s">
        <v>352</v>
      </c>
      <c r="C25" s="757"/>
      <c r="D25" s="785"/>
      <c r="E25" s="786"/>
      <c r="H25" s="763"/>
      <c r="I25" s="784"/>
      <c r="J25" s="769"/>
      <c r="K25" s="749"/>
    </row>
    <row r="26" spans="2:11" ht="20.25" customHeight="1">
      <c r="B26" s="207" t="s">
        <v>433</v>
      </c>
      <c r="C26" s="39" t="s">
        <v>436</v>
      </c>
      <c r="D26" s="785"/>
      <c r="E26" s="786"/>
      <c r="H26" s="207" t="s">
        <v>433</v>
      </c>
      <c r="I26" s="208">
        <v>20</v>
      </c>
      <c r="J26" s="205"/>
      <c r="K26" s="132">
        <f>ROUNDUP($I$26*10.27*0.1,0)</f>
        <v>21</v>
      </c>
    </row>
    <row r="27" spans="2:11" ht="20.25" customHeight="1">
      <c r="B27" s="199" t="s">
        <v>182</v>
      </c>
      <c r="C27" s="39" t="s">
        <v>291</v>
      </c>
      <c r="D27" s="785"/>
      <c r="E27" s="786"/>
      <c r="H27" s="199" t="s">
        <v>182</v>
      </c>
      <c r="I27" s="208">
        <v>125</v>
      </c>
      <c r="J27" s="205"/>
      <c r="K27" s="132">
        <f>ROUNDUP($I$27*10.27*0.2,0)</f>
        <v>257</v>
      </c>
    </row>
    <row r="28" spans="2:11" ht="20.25" customHeight="1">
      <c r="B28" s="207" t="s">
        <v>441</v>
      </c>
      <c r="C28" s="39" t="s">
        <v>443</v>
      </c>
      <c r="D28" s="785"/>
      <c r="E28" s="786"/>
      <c r="H28" s="207" t="s">
        <v>441</v>
      </c>
      <c r="I28" s="208">
        <v>40</v>
      </c>
      <c r="J28" s="205"/>
      <c r="K28" s="132">
        <f>ROUNDUP($I$28*10.27*0.2,0)</f>
        <v>83</v>
      </c>
    </row>
    <row r="29" spans="2:11" ht="20.25" customHeight="1">
      <c r="B29" s="78" t="s">
        <v>101</v>
      </c>
      <c r="C29" s="39" t="s">
        <v>209</v>
      </c>
      <c r="D29" s="785"/>
      <c r="E29" s="786"/>
      <c r="H29" s="38" t="s">
        <v>101</v>
      </c>
      <c r="I29" s="170">
        <v>450</v>
      </c>
      <c r="J29" s="176"/>
      <c r="K29" s="132">
        <f>ROUNDUP($I$29*10.27*0.2,0)</f>
        <v>925</v>
      </c>
    </row>
    <row r="30" spans="2:11" ht="20.25" customHeight="1">
      <c r="B30" s="38" t="s">
        <v>102</v>
      </c>
      <c r="C30" s="39" t="s">
        <v>210</v>
      </c>
      <c r="D30" s="785"/>
      <c r="E30" s="786"/>
      <c r="H30" s="38" t="s">
        <v>102</v>
      </c>
      <c r="I30" s="170">
        <v>480</v>
      </c>
      <c r="J30" s="176"/>
      <c r="K30" s="132">
        <f>ROUNDUP($I$30*10.27*0.2,0)</f>
        <v>986</v>
      </c>
    </row>
    <row r="31" spans="2:11" ht="20.25" customHeight="1">
      <c r="B31" s="78" t="s">
        <v>132</v>
      </c>
      <c r="C31" s="39" t="s">
        <v>207</v>
      </c>
      <c r="D31" s="785"/>
      <c r="E31" s="786"/>
      <c r="H31" s="38" t="s">
        <v>133</v>
      </c>
      <c r="I31" s="170">
        <v>400</v>
      </c>
      <c r="J31" s="176"/>
      <c r="K31" s="132">
        <f>ROUNDUP($I$31*10.27*0.2,0)</f>
        <v>822</v>
      </c>
    </row>
    <row r="32" spans="2:11" ht="20.25" customHeight="1">
      <c r="B32" s="38" t="s">
        <v>42</v>
      </c>
      <c r="C32" s="39" t="s">
        <v>211</v>
      </c>
      <c r="D32" s="785"/>
      <c r="E32" s="786"/>
      <c r="H32" s="38" t="s">
        <v>42</v>
      </c>
      <c r="I32" s="170">
        <v>500</v>
      </c>
      <c r="J32" s="176"/>
      <c r="K32" s="132">
        <f>ROUNDUP($I$32*10.27*0.2,0)</f>
        <v>1027</v>
      </c>
    </row>
    <row r="33" spans="2:11" ht="20.25" customHeight="1">
      <c r="B33" s="38" t="s">
        <v>344</v>
      </c>
      <c r="C33" s="39" t="s">
        <v>356</v>
      </c>
      <c r="D33" s="785"/>
      <c r="E33" s="786"/>
      <c r="H33" s="38" t="s">
        <v>344</v>
      </c>
      <c r="I33" s="170">
        <v>600</v>
      </c>
      <c r="J33" s="176"/>
      <c r="K33" s="132">
        <f>ROUNDUP($I$33*10.27*0.2,0)</f>
        <v>1233</v>
      </c>
    </row>
    <row r="34" spans="2:11" ht="20.25" customHeight="1">
      <c r="B34" s="38" t="s">
        <v>345</v>
      </c>
      <c r="C34" s="39" t="s">
        <v>355</v>
      </c>
      <c r="D34" s="785"/>
      <c r="E34" s="786"/>
      <c r="H34" s="38" t="s">
        <v>345</v>
      </c>
      <c r="I34" s="170">
        <v>400</v>
      </c>
      <c r="J34" s="176"/>
      <c r="K34" s="132">
        <f>ROUNDUP($I$34*10.27*0.2,0)</f>
        <v>822</v>
      </c>
    </row>
    <row r="35" spans="2:11" ht="20.25" customHeight="1">
      <c r="B35" s="167" t="s">
        <v>212</v>
      </c>
      <c r="C35" s="39" t="s">
        <v>357</v>
      </c>
      <c r="D35" s="785"/>
      <c r="E35" s="786"/>
      <c r="H35" s="38" t="s">
        <v>212</v>
      </c>
      <c r="I35" s="170">
        <v>300</v>
      </c>
      <c r="J35" s="176"/>
      <c r="K35" s="132">
        <f>ROUNDUP($I$35*10.27*0.2,0)</f>
        <v>617</v>
      </c>
    </row>
    <row r="36" spans="2:11" ht="53.25" customHeight="1">
      <c r="B36" s="40" t="s">
        <v>213</v>
      </c>
      <c r="C36" s="127" t="s">
        <v>358</v>
      </c>
      <c r="D36" s="787"/>
      <c r="E36" s="788"/>
      <c r="H36" s="78" t="s">
        <v>112</v>
      </c>
      <c r="I36" s="170">
        <v>1650</v>
      </c>
      <c r="J36" s="176"/>
      <c r="K36" s="132">
        <f>ROUNDUP($I$36*10.27*0.2,0)</f>
        <v>3390</v>
      </c>
    </row>
    <row r="37" spans="2:11" ht="20.25" customHeight="1">
      <c r="B37" s="31" t="s">
        <v>33</v>
      </c>
      <c r="C37" s="795" t="s">
        <v>34</v>
      </c>
      <c r="D37" s="796"/>
      <c r="E37" s="797"/>
      <c r="H37" s="78" t="s">
        <v>214</v>
      </c>
      <c r="I37" s="170">
        <v>820</v>
      </c>
      <c r="J37" s="176"/>
      <c r="K37" s="132">
        <f>ROUNDUP($I$37*10.27*0.2,0)</f>
        <v>1685</v>
      </c>
    </row>
    <row r="38" spans="2:11" ht="20.25" customHeight="1">
      <c r="B38" s="31" t="s">
        <v>35</v>
      </c>
      <c r="C38" s="795" t="s">
        <v>215</v>
      </c>
      <c r="D38" s="796"/>
      <c r="E38" s="797"/>
      <c r="H38" s="299" t="s">
        <v>114</v>
      </c>
      <c r="I38" s="206">
        <v>160</v>
      </c>
      <c r="J38" s="210"/>
      <c r="K38" s="297">
        <f>ROUNDUP($I$38*10.27*0.2,0)</f>
        <v>329</v>
      </c>
    </row>
    <row r="39" spans="2:11" ht="20.25" customHeight="1" thickBot="1">
      <c r="B39" s="32" t="s">
        <v>36</v>
      </c>
      <c r="C39" s="795" t="s">
        <v>216</v>
      </c>
      <c r="D39" s="796"/>
      <c r="E39" s="797"/>
      <c r="H39" s="179" t="s">
        <v>347</v>
      </c>
      <c r="I39" s="170">
        <v>80</v>
      </c>
      <c r="J39" s="176"/>
      <c r="K39" s="297">
        <f>ROUNDUP($I$39*10.27*0.2,0)</f>
        <v>165</v>
      </c>
    </row>
    <row r="40" spans="2:6" ht="20.25" customHeight="1">
      <c r="B40" s="32" t="s">
        <v>37</v>
      </c>
      <c r="C40" s="795" t="s">
        <v>217</v>
      </c>
      <c r="D40" s="796"/>
      <c r="E40" s="797"/>
      <c r="F40" s="33"/>
    </row>
    <row r="41" spans="2:5" ht="20.25" customHeight="1">
      <c r="B41" s="32" t="s">
        <v>43</v>
      </c>
      <c r="C41" s="795" t="s">
        <v>373</v>
      </c>
      <c r="D41" s="796"/>
      <c r="E41" s="797"/>
    </row>
    <row r="42" spans="2:5" ht="20.25" customHeight="1">
      <c r="B42" s="32" t="s">
        <v>44</v>
      </c>
      <c r="C42" s="795" t="s">
        <v>374</v>
      </c>
      <c r="D42" s="796"/>
      <c r="E42" s="796"/>
    </row>
    <row r="43" spans="2:5" ht="20.25" customHeight="1">
      <c r="B43" s="41" t="s">
        <v>45</v>
      </c>
      <c r="C43" s="795" t="s">
        <v>375</v>
      </c>
      <c r="D43" s="796"/>
      <c r="E43" s="796"/>
    </row>
    <row r="44" spans="1:5" ht="20.25" customHeight="1" thickBot="1">
      <c r="A44" s="42"/>
      <c r="B44" s="43" t="s">
        <v>218</v>
      </c>
      <c r="C44" s="798" t="s">
        <v>219</v>
      </c>
      <c r="D44" s="799"/>
      <c r="E44" s="800"/>
    </row>
    <row r="45" spans="1:6" ht="14.25" customHeight="1">
      <c r="A45" s="186" t="s">
        <v>317</v>
      </c>
      <c r="B45" s="185"/>
      <c r="C45" s="8"/>
      <c r="D45" s="8"/>
      <c r="E45" s="8"/>
      <c r="F45" s="94"/>
    </row>
    <row r="46" spans="1:6" ht="14.25" customHeight="1">
      <c r="A46" s="186" t="s">
        <v>46</v>
      </c>
      <c r="B46" s="95"/>
      <c r="C46" s="73"/>
      <c r="D46" s="73"/>
      <c r="E46" s="73"/>
      <c r="F46" s="94"/>
    </row>
    <row r="47" spans="1:6" ht="12.75" customHeight="1">
      <c r="A47" s="57" t="s">
        <v>145</v>
      </c>
      <c r="B47" s="187"/>
      <c r="C47" s="88"/>
      <c r="D47" s="88"/>
      <c r="E47" s="88"/>
      <c r="F47" s="88"/>
    </row>
    <row r="48" spans="1:6" ht="14.25" customHeight="1">
      <c r="A48" s="811" t="s">
        <v>151</v>
      </c>
      <c r="B48" s="811"/>
      <c r="C48" s="180" t="s">
        <v>80</v>
      </c>
      <c r="D48" s="180"/>
      <c r="E48" s="808" t="s">
        <v>81</v>
      </c>
      <c r="F48" s="808"/>
    </row>
    <row r="49" spans="1:6" ht="14.25" customHeight="1">
      <c r="A49" s="812" t="s">
        <v>82</v>
      </c>
      <c r="B49" s="812"/>
      <c r="C49" s="808" t="s">
        <v>83</v>
      </c>
      <c r="D49" s="808"/>
      <c r="E49" s="809"/>
      <c r="F49" s="93"/>
    </row>
    <row r="50" spans="1:6" ht="14.25" customHeight="1">
      <c r="A50" s="808" t="s">
        <v>152</v>
      </c>
      <c r="B50" s="808"/>
      <c r="C50" s="808"/>
      <c r="D50" s="793" t="s">
        <v>88</v>
      </c>
      <c r="E50" s="794"/>
      <c r="F50" s="92"/>
    </row>
    <row r="51" spans="1:6" ht="14.25" customHeight="1">
      <c r="A51" s="808" t="s">
        <v>153</v>
      </c>
      <c r="B51" s="808"/>
      <c r="C51" s="808" t="s">
        <v>84</v>
      </c>
      <c r="D51" s="808"/>
      <c r="E51" s="92"/>
      <c r="F51" s="93"/>
    </row>
    <row r="52" spans="1:6" ht="14.25" customHeight="1">
      <c r="A52" s="186" t="s">
        <v>157</v>
      </c>
      <c r="B52" s="91"/>
      <c r="C52" s="92"/>
      <c r="D52" s="93"/>
      <c r="E52" s="93"/>
      <c r="F52" s="93"/>
    </row>
    <row r="53" spans="1:6" ht="14.25" customHeight="1">
      <c r="A53" s="95" t="s">
        <v>154</v>
      </c>
      <c r="B53" s="96"/>
      <c r="C53" s="73"/>
      <c r="D53" s="73"/>
      <c r="E53" s="73"/>
      <c r="F53" s="94"/>
    </row>
    <row r="54" spans="1:6" ht="14.25" customHeight="1">
      <c r="A54" s="95"/>
      <c r="B54" s="95" t="s">
        <v>220</v>
      </c>
      <c r="C54" s="73"/>
      <c r="D54" s="73"/>
      <c r="E54" s="73"/>
      <c r="F54" s="94"/>
    </row>
    <row r="55" spans="1:6" ht="14.25" customHeight="1">
      <c r="A55" s="186" t="s">
        <v>221</v>
      </c>
      <c r="B55" s="95"/>
      <c r="C55" s="73"/>
      <c r="D55" s="73"/>
      <c r="E55" s="73"/>
      <c r="F55" s="94"/>
    </row>
    <row r="56" spans="1:6" ht="14.25" customHeight="1">
      <c r="A56" s="95"/>
      <c r="B56" s="96"/>
      <c r="C56" s="107"/>
      <c r="D56" s="107" t="s">
        <v>222</v>
      </c>
      <c r="E56" s="73"/>
      <c r="F56" s="94"/>
    </row>
    <row r="57" spans="1:6" ht="14.25" customHeight="1">
      <c r="A57" s="95"/>
      <c r="B57" s="95"/>
      <c r="C57" s="73"/>
      <c r="D57" s="73"/>
      <c r="E57" s="73"/>
      <c r="F57" s="94"/>
    </row>
    <row r="58" spans="1:6" ht="14.25" customHeight="1">
      <c r="A58" s="57"/>
      <c r="B58" s="91"/>
      <c r="C58" s="92"/>
      <c r="D58" s="93"/>
      <c r="E58" s="73"/>
      <c r="F58" s="93"/>
    </row>
    <row r="59" spans="1:6" ht="15" customHeight="1">
      <c r="A59" s="91"/>
      <c r="B59" s="91"/>
      <c r="C59" s="107"/>
      <c r="D59" s="108"/>
      <c r="E59" s="1" t="s">
        <v>223</v>
      </c>
      <c r="F59" s="93"/>
    </row>
    <row r="60" spans="1:6" ht="14.25">
      <c r="A60" s="810"/>
      <c r="B60" s="810"/>
      <c r="C60" s="90"/>
      <c r="D60" s="73"/>
      <c r="E60" s="1"/>
      <c r="F60" s="94"/>
    </row>
    <row r="61" spans="1:6" ht="13.5">
      <c r="A61" s="95"/>
      <c r="B61" s="95"/>
      <c r="C61" s="73"/>
      <c r="D61" s="73"/>
      <c r="E61" s="44"/>
      <c r="F61" s="94"/>
    </row>
    <row r="62" spans="1:5" ht="13.5">
      <c r="A62" s="44"/>
      <c r="B62" s="44"/>
      <c r="C62" s="1"/>
      <c r="D62" s="1"/>
      <c r="E62" s="1"/>
    </row>
    <row r="63" spans="1:5" ht="13.5">
      <c r="A63" s="44"/>
      <c r="B63" s="44"/>
      <c r="C63" s="1"/>
      <c r="D63" s="1"/>
      <c r="E63" s="13"/>
    </row>
    <row r="64" spans="1:4" ht="13.5">
      <c r="A64" s="44"/>
      <c r="B64" s="44"/>
      <c r="C64" s="44"/>
      <c r="D64" s="44"/>
    </row>
    <row r="65" spans="2:5" ht="13.5">
      <c r="B65" s="1"/>
      <c r="C65" s="1"/>
      <c r="D65" s="1"/>
      <c r="E65" s="45"/>
    </row>
  </sheetData>
  <sheetProtection/>
  <mergeCells count="55">
    <mergeCell ref="A50:C50"/>
    <mergeCell ref="D50:E50"/>
    <mergeCell ref="A51:B51"/>
    <mergeCell ref="C51:D51"/>
    <mergeCell ref="A60:B60"/>
    <mergeCell ref="C43:E43"/>
    <mergeCell ref="C44:E44"/>
    <mergeCell ref="A48:B48"/>
    <mergeCell ref="E48:F48"/>
    <mergeCell ref="A49:B49"/>
    <mergeCell ref="J22:J23"/>
    <mergeCell ref="C49:E49"/>
    <mergeCell ref="C37:E37"/>
    <mergeCell ref="C38:E38"/>
    <mergeCell ref="C39:E39"/>
    <mergeCell ref="C40:E40"/>
    <mergeCell ref="C41:E41"/>
    <mergeCell ref="C42:E42"/>
    <mergeCell ref="D13:E36"/>
    <mergeCell ref="L13:M13"/>
    <mergeCell ref="C22:C23"/>
    <mergeCell ref="K22:K23"/>
    <mergeCell ref="C24:C25"/>
    <mergeCell ref="H24:H25"/>
    <mergeCell ref="I24:I25"/>
    <mergeCell ref="J24:J25"/>
    <mergeCell ref="K24:K25"/>
    <mergeCell ref="H22:H23"/>
    <mergeCell ref="I22:I23"/>
    <mergeCell ref="C12:E12"/>
    <mergeCell ref="I12:J12"/>
    <mergeCell ref="K12:M12"/>
    <mergeCell ref="H10:H11"/>
    <mergeCell ref="I10:I11"/>
    <mergeCell ref="J10:J11"/>
    <mergeCell ref="K10:K11"/>
    <mergeCell ref="H8:H9"/>
    <mergeCell ref="I8:I9"/>
    <mergeCell ref="J8:J9"/>
    <mergeCell ref="K8:K9"/>
    <mergeCell ref="L8:M9"/>
    <mergeCell ref="C10:C11"/>
    <mergeCell ref="D10:E11"/>
    <mergeCell ref="C8:C9"/>
    <mergeCell ref="D8:E9"/>
    <mergeCell ref="L10:M11"/>
    <mergeCell ref="D5:E5"/>
    <mergeCell ref="L5:M5"/>
    <mergeCell ref="D6:E6"/>
    <mergeCell ref="D7:E7"/>
    <mergeCell ref="L7:M7"/>
    <mergeCell ref="D3:E3"/>
    <mergeCell ref="L3:M3"/>
    <mergeCell ref="D4:E4"/>
    <mergeCell ref="L4:M4"/>
  </mergeCells>
  <printOptions/>
  <pageMargins left="0.3937007874015748" right="0.1968503937007874" top="0.1968503937007874" bottom="0.1968503937007874" header="0.31496062992125984" footer="0.31496062992125984"/>
  <pageSetup horizontalDpi="600" verticalDpi="600" orientation="portrait" paperSize="9" scale="87"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U65"/>
  <sheetViews>
    <sheetView tabSelected="1" view="pageBreakPreview" zoomScaleSheetLayoutView="100" zoomScalePageLayoutView="0" workbookViewId="0" topLeftCell="A1">
      <selection activeCell="E58" sqref="E58"/>
    </sheetView>
  </sheetViews>
  <sheetFormatPr defaultColWidth="9.00390625" defaultRowHeight="13.5"/>
  <cols>
    <col min="1" max="1" width="1.625" style="0" customWidth="1"/>
    <col min="2" max="2" width="34.50390625" style="0" customWidth="1"/>
    <col min="3" max="5" width="21.25390625" style="0" customWidth="1"/>
    <col min="6" max="6" width="9.875" style="0" hidden="1" customWidth="1"/>
    <col min="8" max="8" width="28.50390625" style="0" customWidth="1"/>
    <col min="9" max="10" width="5.75390625" style="0" customWidth="1"/>
    <col min="11" max="11" width="18.625" style="0" customWidth="1"/>
    <col min="12" max="13" width="15.00390625" style="0" customWidth="1"/>
    <col min="14" max="14" width="5.125" style="0" customWidth="1"/>
    <col min="15" max="15" width="18.625" style="0" customWidth="1"/>
    <col min="16" max="17" width="15.00390625" style="0" customWidth="1"/>
    <col min="18" max="18" width="5.125" style="0" customWidth="1"/>
    <col min="19" max="19" width="18.625" style="0" customWidth="1"/>
    <col min="20" max="21" width="15.00390625" style="0" customWidth="1"/>
  </cols>
  <sheetData>
    <row r="1" spans="2:21" ht="22.5" customHeight="1" thickBot="1" thickTop="1">
      <c r="B1" s="14" t="s">
        <v>31</v>
      </c>
      <c r="E1" s="235" t="s">
        <v>193</v>
      </c>
      <c r="H1" s="228"/>
      <c r="I1" s="229"/>
      <c r="J1" s="229"/>
      <c r="K1" s="814" t="s">
        <v>126</v>
      </c>
      <c r="L1" s="815"/>
      <c r="M1" s="816"/>
      <c r="O1" s="814" t="s">
        <v>117</v>
      </c>
      <c r="P1" s="815"/>
      <c r="Q1" s="816"/>
      <c r="S1" s="814" t="s">
        <v>185</v>
      </c>
      <c r="T1" s="815"/>
      <c r="U1" s="816"/>
    </row>
    <row r="2" spans="2:21" ht="21.75" customHeight="1" thickBot="1" thickTop="1">
      <c r="B2" s="27" t="s">
        <v>32</v>
      </c>
      <c r="C2" s="28" t="s">
        <v>2</v>
      </c>
      <c r="D2" s="29" t="s">
        <v>20</v>
      </c>
      <c r="E2" s="30" t="s">
        <v>26</v>
      </c>
      <c r="H2" s="27" t="s">
        <v>32</v>
      </c>
      <c r="I2" s="171" t="s">
        <v>138</v>
      </c>
      <c r="J2" s="171" t="s">
        <v>139</v>
      </c>
      <c r="K2" s="230" t="s">
        <v>2</v>
      </c>
      <c r="L2" s="231" t="s">
        <v>20</v>
      </c>
      <c r="M2" s="232" t="s">
        <v>26</v>
      </c>
      <c r="O2" s="28" t="s">
        <v>2</v>
      </c>
      <c r="P2" s="226" t="s">
        <v>20</v>
      </c>
      <c r="Q2" s="227" t="s">
        <v>26</v>
      </c>
      <c r="S2" s="28" t="s">
        <v>2</v>
      </c>
      <c r="T2" s="226" t="s">
        <v>20</v>
      </c>
      <c r="U2" s="227" t="s">
        <v>26</v>
      </c>
    </row>
    <row r="3" spans="2:21" ht="20.25" customHeight="1" thickTop="1">
      <c r="B3" s="32" t="s">
        <v>38</v>
      </c>
      <c r="C3" s="252" t="s">
        <v>319</v>
      </c>
      <c r="D3" s="742" t="s">
        <v>268</v>
      </c>
      <c r="E3" s="743"/>
      <c r="H3" s="32" t="s">
        <v>38</v>
      </c>
      <c r="I3" s="8"/>
      <c r="J3" s="233">
        <v>184</v>
      </c>
      <c r="K3" s="125" t="s">
        <v>74</v>
      </c>
      <c r="L3" s="597">
        <f>ROUNDUP($J$3*10.27*$L$43,0)</f>
        <v>189</v>
      </c>
      <c r="M3" s="744"/>
      <c r="O3" s="125" t="s">
        <v>74</v>
      </c>
      <c r="P3" s="597">
        <f>ROUNDUP($J$3*10.27*$P$43,0)</f>
        <v>378</v>
      </c>
      <c r="Q3" s="744"/>
      <c r="S3" s="125" t="s">
        <v>74</v>
      </c>
      <c r="T3" s="597">
        <f>ROUNDUP(184*10.27*$T$43,0)</f>
        <v>567</v>
      </c>
      <c r="U3" s="744"/>
    </row>
    <row r="4" spans="2:21" ht="20.25" customHeight="1">
      <c r="B4" s="158" t="s">
        <v>171</v>
      </c>
      <c r="C4" s="39" t="s">
        <v>263</v>
      </c>
      <c r="D4" s="745" t="s">
        <v>269</v>
      </c>
      <c r="E4" s="746"/>
      <c r="H4" s="31" t="s">
        <v>137</v>
      </c>
      <c r="I4" s="169">
        <v>6</v>
      </c>
      <c r="J4" s="172">
        <v>8</v>
      </c>
      <c r="K4" s="132">
        <f>ROUNDUP(($I$4)*10.27*$L$43,0)</f>
        <v>7</v>
      </c>
      <c r="L4" s="575">
        <f>ROUNDUP(($J$4)*10.27*$L$43,0)</f>
        <v>9</v>
      </c>
      <c r="M4" s="747"/>
      <c r="O4" s="132">
        <f>ROUNDUP(($I$4)*10.27*$P$43,0)</f>
        <v>13</v>
      </c>
      <c r="P4" s="575">
        <f>ROUNDUP(($J$4)*10.27*$P$43,0)</f>
        <v>17</v>
      </c>
      <c r="Q4" s="747"/>
      <c r="S4" s="132">
        <f>ROUNDUP(($I$4)*10.27*$T$43,0)</f>
        <v>19</v>
      </c>
      <c r="T4" s="575">
        <f>ROUNDUP(($J$4)*10.27*$T$43,0)</f>
        <v>25</v>
      </c>
      <c r="U4" s="747"/>
    </row>
    <row r="5" spans="2:21" ht="20.25" customHeight="1">
      <c r="B5" s="158" t="s">
        <v>146</v>
      </c>
      <c r="C5" s="35"/>
      <c r="D5" s="745" t="s">
        <v>270</v>
      </c>
      <c r="E5" s="746"/>
      <c r="H5" s="31" t="s">
        <v>93</v>
      </c>
      <c r="I5" s="173"/>
      <c r="J5" s="172">
        <v>120</v>
      </c>
      <c r="K5" s="35"/>
      <c r="L5" s="575">
        <f>ROUNDUP($J$5*10.27*$L$43,0)</f>
        <v>124</v>
      </c>
      <c r="M5" s="747"/>
      <c r="O5" s="35"/>
      <c r="P5" s="575">
        <f>ROUNDUP($J$5*10.27*$P$43,0)</f>
        <v>247</v>
      </c>
      <c r="Q5" s="747"/>
      <c r="S5" s="35"/>
      <c r="T5" s="575">
        <f>ROUNDUP($J$5*10.27*$T$43,0)</f>
        <v>370</v>
      </c>
      <c r="U5" s="747"/>
    </row>
    <row r="6" spans="2:19" ht="20.25" customHeight="1">
      <c r="B6" s="195" t="s">
        <v>183</v>
      </c>
      <c r="C6" s="39" t="s">
        <v>439</v>
      </c>
      <c r="D6" s="750"/>
      <c r="E6" s="751"/>
      <c r="H6" s="207" t="s">
        <v>177</v>
      </c>
      <c r="I6" s="208">
        <v>3</v>
      </c>
      <c r="J6" s="205"/>
      <c r="K6" s="133">
        <f>ROUNDUP($I$6*10.27*$L$43,0)</f>
        <v>4</v>
      </c>
      <c r="O6" s="133">
        <f>ROUNDUP($I$6*10.27*$P$43,0)</f>
        <v>7</v>
      </c>
      <c r="S6" s="133">
        <f>ROUNDUP($I$6*10.27*$T$43,0)</f>
        <v>10</v>
      </c>
    </row>
    <row r="7" spans="2:21" ht="20.25" customHeight="1">
      <c r="B7" s="158" t="s">
        <v>184</v>
      </c>
      <c r="C7" s="39" t="s">
        <v>440</v>
      </c>
      <c r="D7" s="750"/>
      <c r="E7" s="751"/>
      <c r="H7" s="158" t="s">
        <v>128</v>
      </c>
      <c r="I7" s="175">
        <v>10</v>
      </c>
      <c r="J7" s="174"/>
      <c r="K7" s="133">
        <f>ROUNDUP($I$7*10.27*$L$43,0)</f>
        <v>11</v>
      </c>
      <c r="L7" s="750"/>
      <c r="M7" s="751"/>
      <c r="O7" s="133">
        <f>ROUNDUP($I$7*10.27*$P$43,0)</f>
        <v>21</v>
      </c>
      <c r="P7" s="750"/>
      <c r="Q7" s="751"/>
      <c r="S7" s="133">
        <f>ROUNDUP($I$7*10.27*$T$43,0)</f>
        <v>31</v>
      </c>
      <c r="T7" s="750"/>
      <c r="U7" s="751"/>
    </row>
    <row r="8" spans="2:21" ht="12" customHeight="1">
      <c r="B8" s="194" t="s">
        <v>162</v>
      </c>
      <c r="C8" s="756" t="s">
        <v>262</v>
      </c>
      <c r="D8" s="758" t="s">
        <v>265</v>
      </c>
      <c r="E8" s="759"/>
      <c r="H8" s="762" t="s">
        <v>103</v>
      </c>
      <c r="I8" s="764">
        <v>240</v>
      </c>
      <c r="J8" s="766">
        <v>240</v>
      </c>
      <c r="K8" s="748">
        <f>ROUNDUP($I$8*10.27*$L$43,0)</f>
        <v>247</v>
      </c>
      <c r="L8" s="588">
        <f>ROUNDUP($J$8*10.27*$L$43,0)</f>
        <v>247</v>
      </c>
      <c r="M8" s="803"/>
      <c r="O8" s="748">
        <f>ROUNDUP($I$8*10.27*$P$43,0)</f>
        <v>493</v>
      </c>
      <c r="P8" s="588">
        <f>ROUNDUP($J$8*10.27*$P$43,0)</f>
        <v>493</v>
      </c>
      <c r="Q8" s="803"/>
      <c r="S8" s="748">
        <f>ROUNDUP($I$8*10.27*$T$43,0)</f>
        <v>740</v>
      </c>
      <c r="T8" s="588">
        <f>ROUNDUP($J$8*10.27*$T$43,0)</f>
        <v>740</v>
      </c>
      <c r="U8" s="803"/>
    </row>
    <row r="9" spans="2:21" ht="12" customHeight="1">
      <c r="B9" s="196" t="s">
        <v>155</v>
      </c>
      <c r="C9" s="757"/>
      <c r="D9" s="760"/>
      <c r="E9" s="761"/>
      <c r="H9" s="763"/>
      <c r="I9" s="765"/>
      <c r="J9" s="767"/>
      <c r="K9" s="749"/>
      <c r="L9" s="804"/>
      <c r="M9" s="805"/>
      <c r="O9" s="749"/>
      <c r="P9" s="804"/>
      <c r="Q9" s="805"/>
      <c r="S9" s="749"/>
      <c r="T9" s="804"/>
      <c r="U9" s="805"/>
    </row>
    <row r="10" spans="2:21" ht="12" customHeight="1">
      <c r="B10" s="197" t="s">
        <v>163</v>
      </c>
      <c r="C10" s="806" t="s">
        <v>262</v>
      </c>
      <c r="D10" s="779"/>
      <c r="E10" s="759"/>
      <c r="H10" s="781" t="s">
        <v>92</v>
      </c>
      <c r="I10" s="752">
        <v>240</v>
      </c>
      <c r="J10" s="754"/>
      <c r="K10" s="777">
        <f>ROUNDUP($I$10*10.27*$L$43,0)</f>
        <v>247</v>
      </c>
      <c r="L10" s="779"/>
      <c r="M10" s="759"/>
      <c r="O10" s="777">
        <f>ROUNDUP($I$10*10.27*$P$43,0)</f>
        <v>493</v>
      </c>
      <c r="P10" s="779"/>
      <c r="Q10" s="759"/>
      <c r="S10" s="777">
        <f>ROUNDUP($I$10*10.27*$T$43,0)</f>
        <v>740</v>
      </c>
      <c r="T10" s="779"/>
      <c r="U10" s="759"/>
    </row>
    <row r="11" spans="2:21" ht="12" customHeight="1">
      <c r="B11" s="195" t="s">
        <v>156</v>
      </c>
      <c r="C11" s="807"/>
      <c r="D11" s="780"/>
      <c r="E11" s="761"/>
      <c r="H11" s="782"/>
      <c r="I11" s="753"/>
      <c r="J11" s="755"/>
      <c r="K11" s="778"/>
      <c r="L11" s="780"/>
      <c r="M11" s="761"/>
      <c r="O11" s="778"/>
      <c r="P11" s="780"/>
      <c r="Q11" s="761"/>
      <c r="S11" s="778"/>
      <c r="T11" s="780"/>
      <c r="U11" s="761"/>
    </row>
    <row r="12" spans="2:21" ht="20.25" customHeight="1">
      <c r="B12" s="78" t="s">
        <v>75</v>
      </c>
      <c r="C12" s="770" t="s">
        <v>284</v>
      </c>
      <c r="D12" s="771"/>
      <c r="E12" s="746"/>
      <c r="H12" s="78" t="s">
        <v>75</v>
      </c>
      <c r="I12" s="772">
        <v>511</v>
      </c>
      <c r="J12" s="773"/>
      <c r="K12" s="774">
        <f>ROUNDUP($I$12*10.27*$L$43,0)</f>
        <v>525</v>
      </c>
      <c r="L12" s="775"/>
      <c r="M12" s="776"/>
      <c r="O12" s="774">
        <f>ROUNDUP($I$12*10.27*$P$43,0)</f>
        <v>1050</v>
      </c>
      <c r="P12" s="775"/>
      <c r="Q12" s="776"/>
      <c r="S12" s="774">
        <f>ROUNDUP($I$12*10.27*$T$43,0)</f>
        <v>1575</v>
      </c>
      <c r="T12" s="775"/>
      <c r="U12" s="776"/>
    </row>
    <row r="13" spans="2:21" ht="20.25" customHeight="1">
      <c r="B13" s="37" t="s">
        <v>39</v>
      </c>
      <c r="C13" s="36" t="s">
        <v>280</v>
      </c>
      <c r="D13" s="785"/>
      <c r="E13" s="786"/>
      <c r="H13" s="37" t="s">
        <v>39</v>
      </c>
      <c r="I13" s="177">
        <v>30</v>
      </c>
      <c r="J13" s="176"/>
      <c r="K13" s="133">
        <f>ROUNDUP($I$13*10.27*$L$43,0)</f>
        <v>31</v>
      </c>
      <c r="L13" s="789"/>
      <c r="M13" s="790"/>
      <c r="O13" s="133">
        <f>ROUNDUP($I$13*10.27*$P$43,0)</f>
        <v>62</v>
      </c>
      <c r="P13" s="789"/>
      <c r="Q13" s="790"/>
      <c r="S13" s="133">
        <f>ROUNDUP($I$13*10.27*$T$43,0)</f>
        <v>93</v>
      </c>
      <c r="T13" s="789"/>
      <c r="U13" s="790"/>
    </row>
    <row r="14" spans="2:19" ht="20.25" customHeight="1">
      <c r="B14" s="38" t="s">
        <v>40</v>
      </c>
      <c r="C14" s="39" t="s">
        <v>281</v>
      </c>
      <c r="D14" s="785"/>
      <c r="E14" s="786"/>
      <c r="H14" s="38" t="s">
        <v>134</v>
      </c>
      <c r="I14" s="170">
        <v>362</v>
      </c>
      <c r="J14" s="176"/>
      <c r="K14" s="132">
        <f>ROUNDUP($I$14*10.27*$L$43,0)</f>
        <v>372</v>
      </c>
      <c r="O14" s="132">
        <f>ROUNDUP($I$14*10.27*$P$43,0)</f>
        <v>744</v>
      </c>
      <c r="S14" s="132">
        <f>ROUNDUP($I$14*10.27*$T$43,0)</f>
        <v>1116</v>
      </c>
    </row>
    <row r="15" spans="2:19" ht="20.25" customHeight="1">
      <c r="B15" s="168" t="s">
        <v>136</v>
      </c>
      <c r="C15" s="39" t="s">
        <v>194</v>
      </c>
      <c r="D15" s="785"/>
      <c r="E15" s="786"/>
      <c r="H15" s="168" t="s">
        <v>135</v>
      </c>
      <c r="I15" s="178">
        <v>800</v>
      </c>
      <c r="J15" s="176"/>
      <c r="K15" s="132">
        <f>ROUNDUP($I$15*10.27*$L$43,0)</f>
        <v>822</v>
      </c>
      <c r="O15" s="132">
        <f>ROUNDUP($I$15*10.27*$P$43,0)</f>
        <v>1644</v>
      </c>
      <c r="S15" s="132">
        <f>ROUNDUP($I$15*10.27*$T$43,0)</f>
        <v>2465</v>
      </c>
    </row>
    <row r="16" spans="2:19" ht="20.25" customHeight="1">
      <c r="B16" s="168" t="s">
        <v>342</v>
      </c>
      <c r="C16" s="39" t="s">
        <v>360</v>
      </c>
      <c r="D16" s="785"/>
      <c r="E16" s="786"/>
      <c r="H16" s="294" t="s">
        <v>341</v>
      </c>
      <c r="I16" s="178">
        <v>11</v>
      </c>
      <c r="J16" s="176"/>
      <c r="K16" s="132">
        <f>ROUNDUP($I$16*10.27*0.3,0)</f>
        <v>34</v>
      </c>
      <c r="O16" s="132">
        <f>ROUNDUP($I$16*10.27*$P$43,0)</f>
        <v>23</v>
      </c>
      <c r="S16" s="132">
        <f>ROUNDUP($I$16*10.27*$T$43,0)</f>
        <v>34</v>
      </c>
    </row>
    <row r="17" spans="2:19" ht="20.25" customHeight="1">
      <c r="B17" s="38" t="s">
        <v>41</v>
      </c>
      <c r="C17" s="36" t="s">
        <v>282</v>
      </c>
      <c r="D17" s="785"/>
      <c r="E17" s="786"/>
      <c r="H17" s="38" t="s">
        <v>41</v>
      </c>
      <c r="I17" s="170">
        <v>28</v>
      </c>
      <c r="J17" s="176"/>
      <c r="K17" s="132">
        <f>ROUNDUP($I$17*10.27*$L$43,0)</f>
        <v>29</v>
      </c>
      <c r="O17" s="132">
        <f>ROUNDUP($I$17*10.27*$P$43,0)</f>
        <v>58</v>
      </c>
      <c r="S17" s="132">
        <f>ROUNDUP($I$17*10.27*$T$43,0)</f>
        <v>87</v>
      </c>
    </row>
    <row r="18" spans="2:19" ht="20.25" customHeight="1">
      <c r="B18" s="38" t="s">
        <v>99</v>
      </c>
      <c r="C18" s="39" t="s">
        <v>283</v>
      </c>
      <c r="D18" s="785"/>
      <c r="E18" s="786"/>
      <c r="H18" s="38" t="s">
        <v>99</v>
      </c>
      <c r="I18" s="170">
        <v>400</v>
      </c>
      <c r="J18" s="176"/>
      <c r="K18" s="132">
        <f>ROUNDUP($I$18*10.27*$L$43,0)</f>
        <v>411</v>
      </c>
      <c r="O18" s="132">
        <f>ROUNDUP($I$18*10.27*$P$43,0)</f>
        <v>822</v>
      </c>
      <c r="S18" s="132">
        <f>ROUNDUP($I$18*10.27*$T$43,0)</f>
        <v>1233</v>
      </c>
    </row>
    <row r="19" spans="2:19" ht="20.25" customHeight="1">
      <c r="B19" s="38" t="s">
        <v>100</v>
      </c>
      <c r="C19" s="39" t="s">
        <v>290</v>
      </c>
      <c r="D19" s="785"/>
      <c r="E19" s="786"/>
      <c r="H19" s="38" t="s">
        <v>100</v>
      </c>
      <c r="I19" s="170">
        <v>100</v>
      </c>
      <c r="J19" s="176"/>
      <c r="K19" s="132">
        <f>ROUNDUP($I$19*10.27*$L$43,0)</f>
        <v>103</v>
      </c>
      <c r="O19" s="132">
        <f>ROUNDUP($I$19*10.27*$P$43,0)</f>
        <v>206</v>
      </c>
      <c r="S19" s="132">
        <f>ROUNDUP($I$19*10.27*$T$43,0)</f>
        <v>309</v>
      </c>
    </row>
    <row r="20" spans="2:19" ht="20.25" customHeight="1">
      <c r="B20" s="209" t="s">
        <v>180</v>
      </c>
      <c r="C20" s="39" t="s">
        <v>285</v>
      </c>
      <c r="D20" s="785"/>
      <c r="E20" s="786"/>
      <c r="H20" s="209" t="s">
        <v>180</v>
      </c>
      <c r="I20" s="206">
        <v>300</v>
      </c>
      <c r="J20" s="210"/>
      <c r="K20" s="132">
        <f>ROUNDUP($I$20*10.27*$L$43,0)</f>
        <v>309</v>
      </c>
      <c r="O20" s="132">
        <f>ROUNDUP($I$20*10.27*$P$43,0)</f>
        <v>617</v>
      </c>
      <c r="S20" s="132">
        <f>ROUNDUP($I$20*10.27*$T$43,0)</f>
        <v>925</v>
      </c>
    </row>
    <row r="21" spans="2:19" ht="20.25" customHeight="1">
      <c r="B21" s="209" t="s">
        <v>181</v>
      </c>
      <c r="C21" s="39" t="s">
        <v>274</v>
      </c>
      <c r="D21" s="785"/>
      <c r="E21" s="786"/>
      <c r="H21" s="209" t="s">
        <v>181</v>
      </c>
      <c r="I21" s="206">
        <v>400</v>
      </c>
      <c r="J21" s="210"/>
      <c r="K21" s="132">
        <f>ROUNDUP($I$21*10.27*$L$43,0)</f>
        <v>411</v>
      </c>
      <c r="O21" s="132">
        <f>ROUNDUP($I$21*10.27*$P$43,0)</f>
        <v>822</v>
      </c>
      <c r="S21" s="132">
        <f>ROUNDUP($I$21*10.27*$T$43,0)</f>
        <v>1233</v>
      </c>
    </row>
    <row r="22" spans="2:19" ht="12" customHeight="1">
      <c r="B22" s="198" t="s">
        <v>178</v>
      </c>
      <c r="C22" s="806" t="s">
        <v>361</v>
      </c>
      <c r="D22" s="785"/>
      <c r="E22" s="786"/>
      <c r="H22" s="762" t="s">
        <v>208</v>
      </c>
      <c r="I22" s="791">
        <v>239</v>
      </c>
      <c r="J22" s="768"/>
      <c r="K22" s="748">
        <f>ROUNDUP($I$22*10.27*$L$43,0)</f>
        <v>246</v>
      </c>
      <c r="O22" s="748">
        <f>ROUNDUP($I$22*10.27*$P$43,0)</f>
        <v>491</v>
      </c>
      <c r="S22" s="748">
        <f>ROUNDUP($I$22*10.27*$T$43,0)</f>
        <v>737</v>
      </c>
    </row>
    <row r="23" spans="2:19" ht="12" customHeight="1">
      <c r="B23" s="199" t="s">
        <v>179</v>
      </c>
      <c r="C23" s="807"/>
      <c r="D23" s="785"/>
      <c r="E23" s="786"/>
      <c r="H23" s="763"/>
      <c r="I23" s="792"/>
      <c r="J23" s="769"/>
      <c r="K23" s="749"/>
      <c r="O23" s="749"/>
      <c r="S23" s="749"/>
    </row>
    <row r="24" spans="2:19" ht="12" customHeight="1">
      <c r="B24" s="198" t="s">
        <v>147</v>
      </c>
      <c r="C24" s="806" t="s">
        <v>362</v>
      </c>
      <c r="D24" s="785"/>
      <c r="E24" s="786"/>
      <c r="H24" s="762" t="s">
        <v>127</v>
      </c>
      <c r="I24" s="783">
        <v>480</v>
      </c>
      <c r="J24" s="768"/>
      <c r="K24" s="748">
        <f>ROUNDUP($I$24*10.27*$L$43,0)</f>
        <v>493</v>
      </c>
      <c r="O24" s="748">
        <f>ROUNDUP($I$24*10.27*$P$43,0)</f>
        <v>986</v>
      </c>
      <c r="S24" s="748">
        <f>ROUNDUP($I$24*10.27*$T$43,0)</f>
        <v>1479</v>
      </c>
    </row>
    <row r="25" spans="2:19" ht="12" customHeight="1">
      <c r="B25" s="199" t="s">
        <v>352</v>
      </c>
      <c r="C25" s="807"/>
      <c r="D25" s="785"/>
      <c r="E25" s="786"/>
      <c r="H25" s="763"/>
      <c r="I25" s="784"/>
      <c r="J25" s="769"/>
      <c r="K25" s="749"/>
      <c r="O25" s="749"/>
      <c r="S25" s="749"/>
    </row>
    <row r="26" spans="2:19" ht="20.25" customHeight="1">
      <c r="B26" s="207" t="s">
        <v>433</v>
      </c>
      <c r="C26" s="39" t="s">
        <v>435</v>
      </c>
      <c r="D26" s="785"/>
      <c r="E26" s="786"/>
      <c r="H26" s="207" t="s">
        <v>433</v>
      </c>
      <c r="I26" s="208">
        <v>20</v>
      </c>
      <c r="J26" s="205"/>
      <c r="K26" s="132">
        <f>ROUNDUP($I$26*10.27*$L$43,0)</f>
        <v>21</v>
      </c>
      <c r="O26" s="132">
        <f>ROUNDUP($I$26*10.27*$P$43,0)</f>
        <v>42</v>
      </c>
      <c r="S26" s="132">
        <f>ROUNDUP($I$26*10.27*$T$43,0)</f>
        <v>62</v>
      </c>
    </row>
    <row r="27" spans="2:19" ht="20.25" customHeight="1">
      <c r="B27" s="199" t="s">
        <v>182</v>
      </c>
      <c r="C27" s="39" t="s">
        <v>276</v>
      </c>
      <c r="D27" s="785"/>
      <c r="E27" s="786"/>
      <c r="H27" s="199" t="s">
        <v>182</v>
      </c>
      <c r="I27" s="208">
        <v>125</v>
      </c>
      <c r="J27" s="205"/>
      <c r="K27" s="132">
        <f>ROUNDUP($I$27*10.27*$L$43,0)</f>
        <v>129</v>
      </c>
      <c r="O27" s="132">
        <f>ROUNDUP($I$27*10.27*$P$43,0)</f>
        <v>257</v>
      </c>
      <c r="S27" s="132">
        <f>ROUNDUP($I$27*10.27*$T$43,0)</f>
        <v>386</v>
      </c>
    </row>
    <row r="28" spans="2:19" ht="20.25" customHeight="1">
      <c r="B28" s="207" t="s">
        <v>441</v>
      </c>
      <c r="C28" s="39" t="s">
        <v>444</v>
      </c>
      <c r="D28" s="785"/>
      <c r="E28" s="786"/>
      <c r="H28" s="207" t="s">
        <v>441</v>
      </c>
      <c r="I28" s="208">
        <v>40</v>
      </c>
      <c r="J28" s="205"/>
      <c r="K28" s="132">
        <f>ROUNDUP($I$28*10.27*$L$43,0)</f>
        <v>42</v>
      </c>
      <c r="O28" s="132">
        <f>ROUNDUP($I$28*10.27*$P$43,0)</f>
        <v>83</v>
      </c>
      <c r="S28" s="132">
        <f>ROUNDUP($I$28*10.27*$T$43,0)</f>
        <v>124</v>
      </c>
    </row>
    <row r="29" spans="2:19" ht="20.25" customHeight="1">
      <c r="B29" s="78" t="s">
        <v>101</v>
      </c>
      <c r="C29" s="39" t="s">
        <v>277</v>
      </c>
      <c r="D29" s="785"/>
      <c r="E29" s="786"/>
      <c r="H29" s="38" t="s">
        <v>101</v>
      </c>
      <c r="I29" s="170">
        <v>450</v>
      </c>
      <c r="J29" s="176"/>
      <c r="K29" s="132">
        <f>ROUNDUP($I$29*10.27*$L$43,0)</f>
        <v>463</v>
      </c>
      <c r="O29" s="132">
        <f>ROUNDUP($I$29*10.27*$P$43,0)</f>
        <v>925</v>
      </c>
      <c r="S29" s="132">
        <f>ROUNDUP($I$29*10.27*$T$43,0)</f>
        <v>1387</v>
      </c>
    </row>
    <row r="30" spans="2:19" ht="20.25" customHeight="1">
      <c r="B30" s="38" t="s">
        <v>102</v>
      </c>
      <c r="C30" s="39" t="s">
        <v>278</v>
      </c>
      <c r="D30" s="785"/>
      <c r="E30" s="786"/>
      <c r="H30" s="38" t="s">
        <v>102</v>
      </c>
      <c r="I30" s="170">
        <v>480</v>
      </c>
      <c r="J30" s="176"/>
      <c r="K30" s="132">
        <f>ROUNDUP($I$30*10.27*$L$43,0)</f>
        <v>493</v>
      </c>
      <c r="O30" s="132">
        <f>ROUNDUP($I$30*10.27*$P$43,0)</f>
        <v>986</v>
      </c>
      <c r="S30" s="132">
        <f>ROUNDUP($I$30*10.27*$T$43,0)</f>
        <v>1479</v>
      </c>
    </row>
    <row r="31" spans="2:19" ht="20.25" customHeight="1">
      <c r="B31" s="78" t="s">
        <v>132</v>
      </c>
      <c r="C31" s="39" t="s">
        <v>274</v>
      </c>
      <c r="D31" s="785"/>
      <c r="E31" s="786"/>
      <c r="H31" s="38" t="s">
        <v>133</v>
      </c>
      <c r="I31" s="170">
        <v>400</v>
      </c>
      <c r="J31" s="176"/>
      <c r="K31" s="132">
        <f>ROUNDUP($I$31*10.27*$L$43,0)</f>
        <v>411</v>
      </c>
      <c r="O31" s="132">
        <f>ROUNDUP($I$31*10.27*$P$43,0)</f>
        <v>822</v>
      </c>
      <c r="S31" s="132">
        <f>ROUNDUP($I$31*10.27*$T$43,0)</f>
        <v>1233</v>
      </c>
    </row>
    <row r="32" spans="2:19" ht="20.25" customHeight="1">
      <c r="B32" s="38" t="s">
        <v>42</v>
      </c>
      <c r="C32" s="39" t="s">
        <v>279</v>
      </c>
      <c r="D32" s="785"/>
      <c r="E32" s="786"/>
      <c r="H32" s="38" t="s">
        <v>42</v>
      </c>
      <c r="I32" s="170">
        <v>500</v>
      </c>
      <c r="J32" s="176"/>
      <c r="K32" s="132">
        <f>ROUNDUP($I$32*10.27*$L$43,0)</f>
        <v>514</v>
      </c>
      <c r="O32" s="132">
        <f>ROUNDUP($I$32*10.27*0.2,0)</f>
        <v>1027</v>
      </c>
      <c r="S32" s="132">
        <f>ROUNDUP($I$32*10.27*$T$43,0)</f>
        <v>1541</v>
      </c>
    </row>
    <row r="33" spans="2:19" ht="20.25" customHeight="1">
      <c r="B33" s="38" t="s">
        <v>344</v>
      </c>
      <c r="C33" s="39" t="s">
        <v>363</v>
      </c>
      <c r="D33" s="785"/>
      <c r="E33" s="786"/>
      <c r="H33" s="38" t="s">
        <v>344</v>
      </c>
      <c r="I33" s="170">
        <v>600</v>
      </c>
      <c r="J33" s="176"/>
      <c r="K33" s="132">
        <f>ROUNDUP($I$33*10.27*$L$43,0)</f>
        <v>617</v>
      </c>
      <c r="O33" s="132">
        <f>ROUNDUP($I$33*10.27*$P$43,0)</f>
        <v>1233</v>
      </c>
      <c r="S33" s="132">
        <f>ROUNDUP($I$33*10.27*$T$43,0)</f>
        <v>1849</v>
      </c>
    </row>
    <row r="34" spans="2:19" ht="20.25" customHeight="1">
      <c r="B34" s="38" t="s">
        <v>345</v>
      </c>
      <c r="C34" s="39" t="s">
        <v>274</v>
      </c>
      <c r="D34" s="785"/>
      <c r="E34" s="786"/>
      <c r="H34" s="38" t="s">
        <v>345</v>
      </c>
      <c r="I34" s="170">
        <v>400</v>
      </c>
      <c r="J34" s="176"/>
      <c r="K34" s="132">
        <f>ROUNDUP($I$34*10.27*$L$43,0)</f>
        <v>411</v>
      </c>
      <c r="O34" s="132">
        <f>ROUNDUP($I$34*10.27*$P$43,0)</f>
        <v>822</v>
      </c>
      <c r="S34" s="132">
        <f>ROUNDUP($I$34*10.27*$T$43,0)</f>
        <v>1233</v>
      </c>
    </row>
    <row r="35" spans="2:19" ht="20.25" customHeight="1">
      <c r="B35" s="167" t="s">
        <v>129</v>
      </c>
      <c r="C35" s="39" t="s">
        <v>275</v>
      </c>
      <c r="D35" s="785"/>
      <c r="E35" s="786"/>
      <c r="H35" s="38" t="s">
        <v>129</v>
      </c>
      <c r="I35" s="170">
        <v>300</v>
      </c>
      <c r="J35" s="176"/>
      <c r="K35" s="132">
        <f>ROUNDUP($I$35*10.27*$L$43,0)</f>
        <v>309</v>
      </c>
      <c r="O35" s="132">
        <f>ROUNDUP($I$35*10.27*$P$43,0)</f>
        <v>617</v>
      </c>
      <c r="S35" s="132">
        <f>ROUNDUP($I$35*10.27*$T$43,0)</f>
        <v>925</v>
      </c>
    </row>
    <row r="36" spans="2:19" ht="53.25" customHeight="1">
      <c r="B36" s="40" t="s">
        <v>148</v>
      </c>
      <c r="C36" s="127" t="s">
        <v>364</v>
      </c>
      <c r="D36" s="787"/>
      <c r="E36" s="788"/>
      <c r="H36" s="78" t="s">
        <v>112</v>
      </c>
      <c r="I36" s="170">
        <v>1650</v>
      </c>
      <c r="J36" s="176"/>
      <c r="K36" s="132">
        <f>ROUNDUP($I$36*10.27*$L$43,0)</f>
        <v>1695</v>
      </c>
      <c r="O36" s="132">
        <f>ROUNDUP($I$36*10.27*$P$43,0)</f>
        <v>3390</v>
      </c>
      <c r="S36" s="132">
        <f>ROUNDUP($I$36*10.27*$T$43,0)</f>
        <v>5084</v>
      </c>
    </row>
    <row r="37" spans="2:19" ht="20.25" customHeight="1">
      <c r="B37" s="31" t="s">
        <v>33</v>
      </c>
      <c r="C37" s="795" t="s">
        <v>34</v>
      </c>
      <c r="D37" s="796"/>
      <c r="E37" s="797"/>
      <c r="H37" s="168" t="s">
        <v>113</v>
      </c>
      <c r="I37" s="170">
        <v>820</v>
      </c>
      <c r="J37" s="176"/>
      <c r="K37" s="132">
        <f>ROUNDUP($I$37*10.27*$L$43,0)</f>
        <v>843</v>
      </c>
      <c r="O37" s="132">
        <f>ROUNDUP($I$37*10.27*0.2,0)</f>
        <v>1685</v>
      </c>
      <c r="S37" s="132">
        <f>ROUNDUP($I$37*10.27*$T$43,0)</f>
        <v>2527</v>
      </c>
    </row>
    <row r="38" spans="2:19" ht="20.25" customHeight="1">
      <c r="B38" s="31" t="s">
        <v>35</v>
      </c>
      <c r="C38" s="795" t="s">
        <v>195</v>
      </c>
      <c r="D38" s="796"/>
      <c r="E38" s="797"/>
      <c r="H38" s="295" t="s">
        <v>114</v>
      </c>
      <c r="I38" s="206">
        <v>160</v>
      </c>
      <c r="J38" s="210"/>
      <c r="K38" s="297">
        <f>ROUNDUP($I$38*10.27*L43,0)</f>
        <v>165</v>
      </c>
      <c r="O38" s="132">
        <f>ROUNDUP($I$38*10.27*$P$43,0)</f>
        <v>329</v>
      </c>
      <c r="S38" s="132">
        <f>ROUNDUP($I$38*10.27*$T$43,0)</f>
        <v>493</v>
      </c>
    </row>
    <row r="39" spans="2:19" ht="20.25" customHeight="1" thickBot="1">
      <c r="B39" s="32" t="s">
        <v>36</v>
      </c>
      <c r="C39" s="795" t="s">
        <v>196</v>
      </c>
      <c r="D39" s="796"/>
      <c r="E39" s="797"/>
      <c r="H39" s="179" t="s">
        <v>347</v>
      </c>
      <c r="I39" s="170">
        <v>80</v>
      </c>
      <c r="J39" s="176"/>
      <c r="K39" s="132">
        <f>ROUNDUP($I$39*10.27*$L$43,0)</f>
        <v>83</v>
      </c>
      <c r="O39" s="132">
        <f>ROUNDUP($I$39*10.27*$P$43,0)</f>
        <v>165</v>
      </c>
      <c r="S39" s="132">
        <f>ROUNDUP($I$39*10.27*$T$43,0)</f>
        <v>247</v>
      </c>
    </row>
    <row r="40" spans="2:19" ht="20.25" customHeight="1">
      <c r="B40" s="32" t="s">
        <v>37</v>
      </c>
      <c r="C40" s="795" t="s">
        <v>197</v>
      </c>
      <c r="D40" s="796"/>
      <c r="E40" s="797"/>
      <c r="F40" s="33"/>
      <c r="H40" s="300"/>
      <c r="I40" s="8"/>
      <c r="J40" s="301"/>
      <c r="K40" s="245"/>
      <c r="O40" s="245"/>
      <c r="S40" s="245"/>
    </row>
    <row r="41" spans="2:19" ht="20.25" customHeight="1">
      <c r="B41" s="32" t="s">
        <v>43</v>
      </c>
      <c r="C41" s="795" t="s">
        <v>373</v>
      </c>
      <c r="D41" s="796"/>
      <c r="E41" s="797"/>
      <c r="H41" s="300"/>
      <c r="I41" s="8"/>
      <c r="J41" s="301"/>
      <c r="K41" s="245"/>
      <c r="O41" s="245"/>
      <c r="S41" s="245"/>
    </row>
    <row r="42" spans="2:8" ht="20.25" customHeight="1" thickBot="1">
      <c r="B42" s="32" t="s">
        <v>44</v>
      </c>
      <c r="C42" s="795" t="s">
        <v>374</v>
      </c>
      <c r="D42" s="796"/>
      <c r="E42" s="796"/>
      <c r="H42" s="300"/>
    </row>
    <row r="43" spans="2:20" ht="20.25" customHeight="1" thickBot="1">
      <c r="B43" s="41" t="s">
        <v>45</v>
      </c>
      <c r="C43" s="795" t="s">
        <v>375</v>
      </c>
      <c r="D43" s="796"/>
      <c r="E43" s="796"/>
      <c r="K43" s="234" t="s">
        <v>124</v>
      </c>
      <c r="L43" s="146">
        <f>1/10</f>
        <v>0.1</v>
      </c>
      <c r="O43" s="234" t="s">
        <v>122</v>
      </c>
      <c r="P43" s="146">
        <f>2/10</f>
        <v>0.2</v>
      </c>
      <c r="S43" s="234" t="s">
        <v>186</v>
      </c>
      <c r="T43" s="146">
        <f>3/10</f>
        <v>0.3</v>
      </c>
    </row>
    <row r="44" spans="1:5" ht="20.25" customHeight="1" thickBot="1">
      <c r="A44" s="42"/>
      <c r="B44" s="43" t="s">
        <v>150</v>
      </c>
      <c r="C44" s="798" t="s">
        <v>198</v>
      </c>
      <c r="D44" s="799"/>
      <c r="E44" s="800"/>
    </row>
    <row r="45" spans="1:6" ht="14.25" customHeight="1">
      <c r="A45" s="186" t="s">
        <v>316</v>
      </c>
      <c r="B45" s="185"/>
      <c r="C45" s="8"/>
      <c r="D45" s="8"/>
      <c r="E45" s="8"/>
      <c r="F45" s="94"/>
    </row>
    <row r="46" spans="1:6" ht="14.25" customHeight="1">
      <c r="A46" s="186" t="s">
        <v>46</v>
      </c>
      <c r="B46" s="95"/>
      <c r="C46" s="73"/>
      <c r="D46" s="73"/>
      <c r="E46" s="73"/>
      <c r="F46" s="94"/>
    </row>
    <row r="47" spans="1:6" ht="12.75" customHeight="1">
      <c r="A47" s="57" t="s">
        <v>145</v>
      </c>
      <c r="B47" s="187"/>
      <c r="C47" s="88"/>
      <c r="D47" s="88"/>
      <c r="E47" s="88"/>
      <c r="F47" s="88"/>
    </row>
    <row r="48" spans="1:6" ht="14.25" customHeight="1">
      <c r="A48" s="811" t="s">
        <v>151</v>
      </c>
      <c r="B48" s="811"/>
      <c r="C48" s="180" t="s">
        <v>80</v>
      </c>
      <c r="D48" s="180"/>
      <c r="E48" s="808" t="s">
        <v>81</v>
      </c>
      <c r="F48" s="808"/>
    </row>
    <row r="49" spans="1:6" ht="14.25" customHeight="1">
      <c r="A49" s="813" t="s">
        <v>318</v>
      </c>
      <c r="B49" s="813"/>
      <c r="C49" s="808" t="s">
        <v>83</v>
      </c>
      <c r="D49" s="808"/>
      <c r="E49" s="809"/>
      <c r="F49" s="93"/>
    </row>
    <row r="50" spans="1:6" ht="14.25" customHeight="1">
      <c r="A50" s="808" t="s">
        <v>152</v>
      </c>
      <c r="B50" s="808"/>
      <c r="C50" s="808"/>
      <c r="D50" s="793" t="s">
        <v>88</v>
      </c>
      <c r="E50" s="794"/>
      <c r="F50" s="92"/>
    </row>
    <row r="51" spans="1:6" ht="14.25" customHeight="1">
      <c r="A51" s="808" t="s">
        <v>153</v>
      </c>
      <c r="B51" s="808"/>
      <c r="C51" s="808" t="s">
        <v>84</v>
      </c>
      <c r="D51" s="808"/>
      <c r="E51" s="92"/>
      <c r="F51" s="93"/>
    </row>
    <row r="52" spans="1:6" ht="14.25" customHeight="1">
      <c r="A52" s="186" t="s">
        <v>157</v>
      </c>
      <c r="B52" s="91"/>
      <c r="C52" s="92"/>
      <c r="D52" s="93"/>
      <c r="E52" s="93"/>
      <c r="F52" s="93"/>
    </row>
    <row r="53" spans="1:6" ht="14.25" customHeight="1">
      <c r="A53" s="95" t="s">
        <v>154</v>
      </c>
      <c r="B53" s="96"/>
      <c r="C53" s="73"/>
      <c r="D53" s="73"/>
      <c r="E53" s="73"/>
      <c r="F53" s="94"/>
    </row>
    <row r="54" spans="1:6" ht="14.25" customHeight="1">
      <c r="A54" s="95"/>
      <c r="B54" s="95" t="s">
        <v>79</v>
      </c>
      <c r="C54" s="73"/>
      <c r="D54" s="73"/>
      <c r="E54" s="73"/>
      <c r="F54" s="94"/>
    </row>
    <row r="55" spans="1:6" ht="14.25" customHeight="1">
      <c r="A55" s="186" t="s">
        <v>149</v>
      </c>
      <c r="B55" s="95"/>
      <c r="C55" s="73"/>
      <c r="D55" s="73"/>
      <c r="E55" s="73"/>
      <c r="F55" s="94"/>
    </row>
    <row r="56" spans="1:6" ht="14.25" customHeight="1">
      <c r="A56" s="95"/>
      <c r="B56" s="96"/>
      <c r="C56" s="107"/>
      <c r="D56" s="107" t="s">
        <v>90</v>
      </c>
      <c r="E56" s="73"/>
      <c r="F56" s="94"/>
    </row>
    <row r="57" spans="1:6" ht="14.25" customHeight="1">
      <c r="A57" s="95"/>
      <c r="B57" s="95"/>
      <c r="C57" s="73"/>
      <c r="D57" s="73"/>
      <c r="E57" s="73"/>
      <c r="F57" s="94"/>
    </row>
    <row r="58" spans="1:6" ht="14.25" customHeight="1">
      <c r="A58" s="57"/>
      <c r="B58" s="91"/>
      <c r="C58" s="92"/>
      <c r="D58" s="93"/>
      <c r="E58" s="73"/>
      <c r="F58" s="93"/>
    </row>
    <row r="59" spans="1:6" ht="15" customHeight="1">
      <c r="A59" s="91"/>
      <c r="B59" s="91"/>
      <c r="C59" s="107"/>
      <c r="D59" s="108"/>
      <c r="E59" s="1" t="s">
        <v>105</v>
      </c>
      <c r="F59" s="93"/>
    </row>
    <row r="60" spans="1:6" ht="14.25">
      <c r="A60" s="810"/>
      <c r="B60" s="810"/>
      <c r="C60" s="90"/>
      <c r="D60" s="73"/>
      <c r="E60" s="1"/>
      <c r="F60" s="94"/>
    </row>
    <row r="61" spans="1:6" ht="13.5">
      <c r="A61" s="95"/>
      <c r="B61" s="95"/>
      <c r="C61" s="73"/>
      <c r="D61" s="73"/>
      <c r="E61" s="44"/>
      <c r="F61" s="94"/>
    </row>
    <row r="62" spans="1:5" ht="13.5">
      <c r="A62" s="44"/>
      <c r="B62" s="44"/>
      <c r="C62" s="1"/>
      <c r="D62" s="1"/>
      <c r="E62" s="1"/>
    </row>
    <row r="63" spans="1:5" ht="13.5">
      <c r="A63" s="44"/>
      <c r="B63" s="44"/>
      <c r="C63" s="1"/>
      <c r="D63" s="1"/>
      <c r="E63" s="13"/>
    </row>
    <row r="64" spans="1:4" ht="13.5">
      <c r="A64" s="44"/>
      <c r="B64" s="44"/>
      <c r="C64" s="44"/>
      <c r="D64" s="44"/>
    </row>
    <row r="65" spans="2:5" ht="13.5">
      <c r="B65" s="1"/>
      <c r="C65" s="1"/>
      <c r="D65" s="1"/>
      <c r="E65" s="45"/>
    </row>
  </sheetData>
  <sheetProtection/>
  <mergeCells count="82">
    <mergeCell ref="T13:U13"/>
    <mergeCell ref="S22:S23"/>
    <mergeCell ref="S24:S25"/>
    <mergeCell ref="S1:U1"/>
    <mergeCell ref="T3:U3"/>
    <mergeCell ref="T4:U4"/>
    <mergeCell ref="T5:U5"/>
    <mergeCell ref="T7:U7"/>
    <mergeCell ref="S8:S9"/>
    <mergeCell ref="K1:M1"/>
    <mergeCell ref="O1:Q1"/>
    <mergeCell ref="L3:M3"/>
    <mergeCell ref="L4:M4"/>
    <mergeCell ref="L5:M5"/>
    <mergeCell ref="O8:O9"/>
    <mergeCell ref="P3:Q3"/>
    <mergeCell ref="K8:K9"/>
    <mergeCell ref="L7:M7"/>
    <mergeCell ref="P4:Q4"/>
    <mergeCell ref="L8:M9"/>
    <mergeCell ref="T8:U9"/>
    <mergeCell ref="S10:S11"/>
    <mergeCell ref="T10:U11"/>
    <mergeCell ref="H24:H25"/>
    <mergeCell ref="J24:J25"/>
    <mergeCell ref="I24:I25"/>
    <mergeCell ref="K24:K25"/>
    <mergeCell ref="O24:O25"/>
    <mergeCell ref="S12:U12"/>
    <mergeCell ref="H10:H11"/>
    <mergeCell ref="J10:J11"/>
    <mergeCell ref="I10:I11"/>
    <mergeCell ref="K10:K11"/>
    <mergeCell ref="K22:K23"/>
    <mergeCell ref="D8:E9"/>
    <mergeCell ref="I8:I9"/>
    <mergeCell ref="J8:J9"/>
    <mergeCell ref="D3:E3"/>
    <mergeCell ref="D13:E36"/>
    <mergeCell ref="D5:E5"/>
    <mergeCell ref="C12:E12"/>
    <mergeCell ref="D4:E4"/>
    <mergeCell ref="D7:E7"/>
    <mergeCell ref="C8:C9"/>
    <mergeCell ref="C24:C25"/>
    <mergeCell ref="C10:C11"/>
    <mergeCell ref="P5:Q5"/>
    <mergeCell ref="O12:Q12"/>
    <mergeCell ref="P7:Q7"/>
    <mergeCell ref="D10:E11"/>
    <mergeCell ref="D6:E6"/>
    <mergeCell ref="O10:O11"/>
    <mergeCell ref="P10:Q11"/>
    <mergeCell ref="L10:M11"/>
    <mergeCell ref="H8:H9"/>
    <mergeCell ref="P8:Q9"/>
    <mergeCell ref="A60:B60"/>
    <mergeCell ref="C39:E39"/>
    <mergeCell ref="C40:E40"/>
    <mergeCell ref="C41:E41"/>
    <mergeCell ref="A51:B51"/>
    <mergeCell ref="C37:E37"/>
    <mergeCell ref="C38:E38"/>
    <mergeCell ref="A48:B48"/>
    <mergeCell ref="E48:F48"/>
    <mergeCell ref="A49:B49"/>
    <mergeCell ref="P13:Q13"/>
    <mergeCell ref="L13:M13"/>
    <mergeCell ref="K12:M12"/>
    <mergeCell ref="H22:H23"/>
    <mergeCell ref="I22:I23"/>
    <mergeCell ref="J22:J23"/>
    <mergeCell ref="O22:O23"/>
    <mergeCell ref="I12:J12"/>
    <mergeCell ref="C51:D51"/>
    <mergeCell ref="D50:E50"/>
    <mergeCell ref="C42:E42"/>
    <mergeCell ref="C43:E43"/>
    <mergeCell ref="C44:E44"/>
    <mergeCell ref="C22:C23"/>
    <mergeCell ref="C49:E49"/>
    <mergeCell ref="A50:C50"/>
  </mergeCells>
  <printOptions/>
  <pageMargins left="0.3937007874015748" right="0.1968503937007874" top="0.1968503937007874" bottom="0.1968503937007874" header="0.31496062992125984" footer="0.31496062992125984"/>
  <pageSetup horizontalDpi="600" verticalDpi="600" orientation="portrait" paperSize="9" scale="87" r:id="rId3"/>
  <colBreaks count="1" manualBreakCount="1">
    <brk id="5" max="65535" man="1"/>
  </colBreaks>
  <legacyDrawing r:id="rId2"/>
</worksheet>
</file>

<file path=xl/worksheets/sheet7.xml><?xml version="1.0" encoding="utf-8"?>
<worksheet xmlns="http://schemas.openxmlformats.org/spreadsheetml/2006/main" xmlns:r="http://schemas.openxmlformats.org/officeDocument/2006/relationships">
  <sheetPr>
    <tabColor indexed="13"/>
  </sheetPr>
  <dimension ref="A2:AH59"/>
  <sheetViews>
    <sheetView view="pageBreakPreview" zoomScale="96" zoomScaleNormal="51" zoomScaleSheetLayoutView="96" zoomScalePageLayoutView="0" workbookViewId="0" topLeftCell="A1">
      <selection activeCell="X11" sqref="X11"/>
    </sheetView>
  </sheetViews>
  <sheetFormatPr defaultColWidth="9.00390625" defaultRowHeight="13.5"/>
  <cols>
    <col min="1" max="1" width="3.50390625" style="0" customWidth="1"/>
    <col min="2" max="2" width="7.25390625" style="0" customWidth="1"/>
    <col min="3" max="3" width="16.75390625" style="25" customWidth="1"/>
    <col min="4" max="5" width="16.75390625" style="0" customWidth="1"/>
    <col min="6" max="7" width="8.50390625" style="0" customWidth="1"/>
    <col min="8" max="10" width="12.625" style="0" customWidth="1"/>
    <col min="11" max="11" width="10.125" style="0" customWidth="1"/>
    <col min="12" max="13" width="10.625" style="0" customWidth="1"/>
    <col min="14" max="14" width="11.25390625" style="0" customWidth="1"/>
    <col min="15" max="15" width="10.00390625" style="0" customWidth="1"/>
    <col min="16" max="19" width="10.625" style="0" customWidth="1"/>
    <col min="20" max="20" width="5.00390625" style="0" customWidth="1"/>
    <col min="21" max="22" width="7.00390625" style="0" customWidth="1"/>
    <col min="23" max="23" width="7.50390625" style="0" customWidth="1"/>
    <col min="26" max="26" width="9.75390625" style="0" customWidth="1"/>
    <col min="27" max="27" width="10.125" style="0" customWidth="1"/>
    <col min="28" max="28" width="9.00390625" style="0" customWidth="1"/>
    <col min="31" max="31" width="9.00390625" style="0" customWidth="1"/>
  </cols>
  <sheetData>
    <row r="2" spans="2:11" ht="21">
      <c r="B2" s="1"/>
      <c r="C2" s="12" t="s">
        <v>0</v>
      </c>
      <c r="D2" s="46"/>
      <c r="E2" s="46"/>
      <c r="F2" s="1"/>
      <c r="G2" s="47" t="s">
        <v>1</v>
      </c>
      <c r="H2" s="47"/>
      <c r="I2" s="47"/>
      <c r="J2" s="12"/>
      <c r="K2" s="12"/>
    </row>
    <row r="3" spans="10:12" ht="17.25" customHeight="1" thickBot="1">
      <c r="J3" s="5" t="s">
        <v>474</v>
      </c>
      <c r="K3" s="5"/>
      <c r="L3" s="5"/>
    </row>
    <row r="4" spans="2:10" ht="20.25" customHeight="1" thickBot="1">
      <c r="B4" s="602" t="s">
        <v>47</v>
      </c>
      <c r="C4" s="603"/>
      <c r="D4" s="603"/>
      <c r="E4" s="603"/>
      <c r="F4" s="603"/>
      <c r="G4" s="604"/>
      <c r="H4" s="605"/>
      <c r="I4" s="606"/>
      <c r="J4" s="607"/>
    </row>
    <row r="5" spans="2:10" ht="20.25" customHeight="1">
      <c r="B5" s="320"/>
      <c r="C5" s="320"/>
      <c r="D5" s="320"/>
      <c r="E5" s="320"/>
      <c r="F5" s="320"/>
      <c r="G5" s="320"/>
      <c r="H5" s="320"/>
      <c r="I5" s="298"/>
      <c r="J5" s="14"/>
    </row>
    <row r="6" spans="2:12" ht="27" customHeight="1" thickBot="1">
      <c r="B6" s="817" t="s">
        <v>3</v>
      </c>
      <c r="C6" s="817"/>
      <c r="D6" s="817"/>
      <c r="E6" s="817"/>
      <c r="J6" s="8"/>
      <c r="K6" s="8"/>
      <c r="L6" s="8"/>
    </row>
    <row r="7" spans="2:28" ht="18" customHeight="1" thickBot="1">
      <c r="B7" s="319"/>
      <c r="C7" s="820" t="s">
        <v>494</v>
      </c>
      <c r="D7" s="821"/>
      <c r="E7" s="821"/>
      <c r="F7" s="818" t="s">
        <v>71</v>
      </c>
      <c r="G7" s="819"/>
      <c r="H7" s="822" t="s">
        <v>49</v>
      </c>
      <c r="I7" s="825" t="s">
        <v>381</v>
      </c>
      <c r="J7" s="825" t="s">
        <v>382</v>
      </c>
      <c r="W7" s="724" t="s">
        <v>292</v>
      </c>
      <c r="X7" s="810"/>
      <c r="Y7" s="810"/>
      <c r="Z7" s="810"/>
      <c r="AA7" s="810"/>
      <c r="AB7" s="810"/>
    </row>
    <row r="8" spans="2:32" ht="32.25" customHeight="1">
      <c r="B8" s="829" t="s">
        <v>6</v>
      </c>
      <c r="C8" s="663" t="s">
        <v>497</v>
      </c>
      <c r="D8" s="663" t="s">
        <v>495</v>
      </c>
      <c r="E8" s="663" t="s">
        <v>496</v>
      </c>
      <c r="F8" s="831" t="s">
        <v>48</v>
      </c>
      <c r="G8" s="831" t="s">
        <v>11</v>
      </c>
      <c r="H8" s="823"/>
      <c r="I8" s="826"/>
      <c r="J8" s="826"/>
      <c r="P8" s="829" t="s">
        <v>6</v>
      </c>
      <c r="Q8" s="463" t="s">
        <v>125</v>
      </c>
      <c r="R8" s="460" t="s">
        <v>140</v>
      </c>
      <c r="S8" s="625" t="s">
        <v>371</v>
      </c>
      <c r="T8" s="463" t="s">
        <v>96</v>
      </c>
      <c r="U8" s="465"/>
      <c r="V8" s="828" t="s">
        <v>377</v>
      </c>
      <c r="W8" s="828" t="s">
        <v>376</v>
      </c>
      <c r="X8" s="833" t="s">
        <v>158</v>
      </c>
      <c r="Y8" s="834"/>
      <c r="Z8" s="835"/>
      <c r="AA8" s="833" t="s">
        <v>328</v>
      </c>
      <c r="AB8" s="834"/>
      <c r="AC8" s="835"/>
      <c r="AD8" s="833" t="s">
        <v>475</v>
      </c>
      <c r="AE8" s="834"/>
      <c r="AF8" s="835"/>
    </row>
    <row r="9" spans="2:32" ht="24.75" customHeight="1" thickBot="1">
      <c r="B9" s="830"/>
      <c r="C9" s="669"/>
      <c r="D9" s="669"/>
      <c r="E9" s="669"/>
      <c r="F9" s="832"/>
      <c r="G9" s="832"/>
      <c r="H9" s="824"/>
      <c r="I9" s="827"/>
      <c r="J9" s="827"/>
      <c r="P9" s="830"/>
      <c r="Q9" s="533"/>
      <c r="R9" s="462"/>
      <c r="S9" s="626"/>
      <c r="T9" s="533" t="s">
        <v>329</v>
      </c>
      <c r="U9" s="538"/>
      <c r="V9" s="462"/>
      <c r="W9" s="462"/>
      <c r="X9" s="86" t="s">
        <v>78</v>
      </c>
      <c r="Y9" s="86" t="s">
        <v>379</v>
      </c>
      <c r="Z9" s="86" t="s">
        <v>380</v>
      </c>
      <c r="AA9" s="86" t="s">
        <v>78</v>
      </c>
      <c r="AB9" s="86" t="s">
        <v>379</v>
      </c>
      <c r="AC9" s="86" t="s">
        <v>380</v>
      </c>
      <c r="AD9" s="86" t="s">
        <v>78</v>
      </c>
      <c r="AE9" s="86" t="s">
        <v>379</v>
      </c>
      <c r="AF9" s="86" t="s">
        <v>380</v>
      </c>
    </row>
    <row r="10" spans="2:32" ht="24.75" customHeight="1">
      <c r="B10" s="48">
        <v>1</v>
      </c>
      <c r="C10" s="374">
        <f>+T10+X10+AA10+AD10</f>
        <v>835</v>
      </c>
      <c r="D10" s="303">
        <f>+T10+$V$10+Y10+AB10+AE10</f>
        <v>880</v>
      </c>
      <c r="E10" s="303">
        <f>+T10+$W$10+Z10+AC10+AF10</f>
        <v>901</v>
      </c>
      <c r="F10" s="466">
        <v>500</v>
      </c>
      <c r="G10" s="564">
        <v>100</v>
      </c>
      <c r="H10" s="404">
        <f>SUM($C10,$F$10:$G$14)</f>
        <v>1435</v>
      </c>
      <c r="I10" s="405">
        <f>SUM($D10,$F$10:$G$14)</f>
        <v>1480</v>
      </c>
      <c r="J10" s="405">
        <f>SUM($E10,$F$10:$G$14)</f>
        <v>1501</v>
      </c>
      <c r="P10" s="154">
        <v>1</v>
      </c>
      <c r="Q10" s="290">
        <v>710</v>
      </c>
      <c r="R10" s="614">
        <v>20</v>
      </c>
      <c r="S10" s="614">
        <v>22</v>
      </c>
      <c r="T10" s="840">
        <f>ROUNDUP(($Q$10+$R$10+$S$10)*$Y$35*$Y$37,0)</f>
        <v>777</v>
      </c>
      <c r="U10" s="841"/>
      <c r="V10" s="845">
        <f>ROUNDUP($Y$25*$Y$35*$Y$37,0)</f>
        <v>42</v>
      </c>
      <c r="W10" s="845">
        <f>ROUNDUP($Y$27*$Y$35*$Y$37,0)</f>
        <v>62</v>
      </c>
      <c r="X10" s="80">
        <f>ROUND(($Q$10+$R$10+$S$10)*$Y$29,0)</f>
        <v>35</v>
      </c>
      <c r="Y10" s="134">
        <f>ROUND(($Q10+$R$10+$S$10+$Y$25)*$Y$29,0)</f>
        <v>37</v>
      </c>
      <c r="Z10" s="134">
        <f>ROUND(($Q10+$R$10+$S$10+$Y$27)*$Y$29,0)</f>
        <v>38</v>
      </c>
      <c r="AA10" s="80">
        <f>ROUND(($Q$10+$R$10+$S$10)*$Y$31,0)</f>
        <v>15</v>
      </c>
      <c r="AB10" s="134">
        <f>ROUND(($Q10+$R$10+$S$10+$Y$25)*$Y$31,0)</f>
        <v>16</v>
      </c>
      <c r="AC10" s="134">
        <f>ROUND(($Q10+$R$10+$S$10+$Y$27)*$Y$31,0)</f>
        <v>16</v>
      </c>
      <c r="AD10" s="80">
        <f>ROUND(($Q$10+$R$10+$S$10)*$Y$33,0)</f>
        <v>8</v>
      </c>
      <c r="AE10" s="134">
        <f>ROUND(($Q10+$R$10+$S$10+$Y$25)*$Y$33,0)</f>
        <v>8</v>
      </c>
      <c r="AF10" s="134">
        <f>ROUND(($Q10+$R$10+$S$10+$Y$27)*$Y$33,0)</f>
        <v>8</v>
      </c>
    </row>
    <row r="11" spans="2:32" ht="24.75" customHeight="1">
      <c r="B11" s="48">
        <v>2</v>
      </c>
      <c r="C11" s="190">
        <f>+T11+X11+AA11+AD11</f>
        <v>985</v>
      </c>
      <c r="D11" s="304">
        <f>+T11+$V$10+Y11+AB11+AE11</f>
        <v>1030</v>
      </c>
      <c r="E11" s="380">
        <f>+T11+$W$10+Z11+AC11+AF11</f>
        <v>1050</v>
      </c>
      <c r="F11" s="836"/>
      <c r="G11" s="838"/>
      <c r="H11" s="404">
        <f>SUM($C11,$F$10:$G$14)</f>
        <v>1585</v>
      </c>
      <c r="I11" s="405">
        <f>SUM($D11,$F$10:$G$14)</f>
        <v>1630</v>
      </c>
      <c r="J11" s="405">
        <f>SUM($E11,$F$10:$G$14)</f>
        <v>1650</v>
      </c>
      <c r="P11" s="155">
        <v>2</v>
      </c>
      <c r="Q11" s="291">
        <v>844</v>
      </c>
      <c r="R11" s="615"/>
      <c r="S11" s="615"/>
      <c r="T11" s="848">
        <f>ROUNDUP(($Q$11+$R$10+$S$10)*$Y$35*$Y$37,0)</f>
        <v>916</v>
      </c>
      <c r="U11" s="849"/>
      <c r="V11" s="846"/>
      <c r="W11" s="846"/>
      <c r="X11" s="85">
        <f>ROUND(($Q$11+$R$10+$S$10)*$Y$29,0)</f>
        <v>42</v>
      </c>
      <c r="Y11" s="85">
        <f>ROUND(($Q11+$R$10+$S$10+$Y$25)*$Y$29,0)</f>
        <v>44</v>
      </c>
      <c r="Z11" s="85">
        <f>ROUND(($Q11+$R$10+$S$10+$Y$27)*$Y$29,0)</f>
        <v>44</v>
      </c>
      <c r="AA11" s="85">
        <f>ROUND(($Q$11+$R$10+$S$10)*$Y$31,0)</f>
        <v>18</v>
      </c>
      <c r="AB11" s="85">
        <f>ROUND(($Q11+$R$10+$S$10+$Y$25)*$Y$31,0)</f>
        <v>19</v>
      </c>
      <c r="AC11" s="315">
        <f>ROUND(($Q11+$R$10+$S$10+$Y$27)*$Y$31,0)</f>
        <v>19</v>
      </c>
      <c r="AD11" s="85">
        <f>ROUND(($Q$11+$R$10+$S$10)*$Y$33,0)</f>
        <v>9</v>
      </c>
      <c r="AE11" s="85">
        <f>ROUND(($Q11+$R$10+$S$10+$Y$25)*$Y$33,0)</f>
        <v>9</v>
      </c>
      <c r="AF11" s="315">
        <f>ROUND(($Q11+$R$10+$S$10+$Y$27)*$Y$33,0)</f>
        <v>9</v>
      </c>
    </row>
    <row r="12" spans="2:32" ht="24.75" customHeight="1">
      <c r="B12" s="48">
        <v>3</v>
      </c>
      <c r="C12" s="190">
        <f>+T12+X12+AA12+AD12</f>
        <v>1128</v>
      </c>
      <c r="D12" s="304">
        <f>+T12+$V$10+Y12+AB12+AE12</f>
        <v>1174</v>
      </c>
      <c r="E12" s="380">
        <f>+T12+$W$10+Z12+AC12+AF12</f>
        <v>1196</v>
      </c>
      <c r="F12" s="836"/>
      <c r="G12" s="838"/>
      <c r="H12" s="404">
        <f>SUM($C12,$F$10:$G$14)</f>
        <v>1728</v>
      </c>
      <c r="I12" s="405">
        <f>SUM($D12,$F$10:$G$14)</f>
        <v>1774</v>
      </c>
      <c r="J12" s="405">
        <f>SUM($E12,$F$10:$G$14)</f>
        <v>1796</v>
      </c>
      <c r="P12" s="155">
        <v>3</v>
      </c>
      <c r="Q12" s="291">
        <v>974</v>
      </c>
      <c r="R12" s="615"/>
      <c r="S12" s="615"/>
      <c r="T12" s="848">
        <f>ROUNDUP(($Q$12+$R$10+$S$10)*$Y$35*$Y$37,0)</f>
        <v>1050</v>
      </c>
      <c r="U12" s="849"/>
      <c r="V12" s="846"/>
      <c r="W12" s="846"/>
      <c r="X12" s="85">
        <f>ROUND(($Q$12+$R$10+$S$10)*$Y$29,0)</f>
        <v>48</v>
      </c>
      <c r="Y12" s="85">
        <f>ROUND(($Q12+$R$10+$S$10+$Y$25)*$Y$29,0)</f>
        <v>50</v>
      </c>
      <c r="Z12" s="85">
        <f>ROUND(($Q12+$R$10+$S$10+$Y$27)*$Y$29,0)</f>
        <v>51</v>
      </c>
      <c r="AA12" s="85">
        <f>ROUND(($Q$12+$R$10+$S$10)*$Y$31,0)</f>
        <v>20</v>
      </c>
      <c r="AB12" s="85">
        <f>ROUND(($Q12+$R$10+$S$10+$Y$25)*$Y$31,0)</f>
        <v>21</v>
      </c>
      <c r="AC12" s="315">
        <f>ROUND(($Q12+$R$10+$S$10+$Y$27)*$Y$31,0)</f>
        <v>22</v>
      </c>
      <c r="AD12" s="85">
        <f>ROUND(($Q$12+$R$10+$S$10)*$Y$33,0)</f>
        <v>10</v>
      </c>
      <c r="AE12" s="85">
        <f>ROUND(($Q12+$R$10+$S$10+$Y$25)*$Y$33,0)</f>
        <v>11</v>
      </c>
      <c r="AF12" s="315">
        <f>ROUND(($Q12+$R$10+$S$10+$Y$27)*$Y$33,0)</f>
        <v>11</v>
      </c>
    </row>
    <row r="13" spans="2:32" ht="24.75" customHeight="1">
      <c r="B13" s="48">
        <v>4</v>
      </c>
      <c r="C13" s="190">
        <f>+T13+X13+AA13+AD13</f>
        <v>1300</v>
      </c>
      <c r="D13" s="304">
        <f>+T13+$V$10+Y13+AB13+AE13</f>
        <v>1345</v>
      </c>
      <c r="E13" s="380">
        <f>+T13+$W$10+Z13+AC13+AF13</f>
        <v>1367</v>
      </c>
      <c r="F13" s="836"/>
      <c r="G13" s="838"/>
      <c r="H13" s="404">
        <f>SUM($C13,$F$10:$G$14)</f>
        <v>1900</v>
      </c>
      <c r="I13" s="405">
        <f>SUM($D13,$F$10:$G$14)</f>
        <v>1945</v>
      </c>
      <c r="J13" s="405">
        <f>SUM($E13,$F$10:$G$14)</f>
        <v>1967</v>
      </c>
      <c r="P13" s="155">
        <v>4</v>
      </c>
      <c r="Q13" s="291">
        <v>1129</v>
      </c>
      <c r="R13" s="615"/>
      <c r="S13" s="615"/>
      <c r="T13" s="848">
        <f>ROUNDUP(($Q$13+$R$10+$S$10)*$Y$35*$Y$37,0)</f>
        <v>1210</v>
      </c>
      <c r="U13" s="849"/>
      <c r="V13" s="846"/>
      <c r="W13" s="846"/>
      <c r="X13" s="85">
        <f>ROUND(($Q$13+$R$10+$S$10)*$Y$29,0)</f>
        <v>55</v>
      </c>
      <c r="Y13" s="85">
        <f>ROUND(($Q13+$R$10+$S$10+$Y$25)*$Y$29,0)</f>
        <v>57</v>
      </c>
      <c r="Z13" s="85">
        <f>ROUND(($Q13+$R$10+$S$10+$Y$27)*$Y$29,0)</f>
        <v>58</v>
      </c>
      <c r="AA13" s="85">
        <f>ROUND(($Q$13+$R$10+$S$10)*$Y$31,0)</f>
        <v>23</v>
      </c>
      <c r="AB13" s="85">
        <f>ROUND(($Q13+$R$10+$S$10+$Y$25)*$Y$31,0)</f>
        <v>24</v>
      </c>
      <c r="AC13" s="315">
        <f>ROUND(($Q13+$R$10+$S$10+$Y$27)*$Y$31,0)</f>
        <v>25</v>
      </c>
      <c r="AD13" s="85">
        <f>ROUND(($Q$13+$R$10+$S$10)*$Y$33,0)</f>
        <v>12</v>
      </c>
      <c r="AE13" s="85">
        <f>ROUND(($Q13+$R$10+$S$10+$Y$25)*$Y$33,0)</f>
        <v>12</v>
      </c>
      <c r="AF13" s="315">
        <f>ROUND(($Q13+$R$10+$S$10+$Y$27)*$Y$33,0)</f>
        <v>12</v>
      </c>
    </row>
    <row r="14" spans="2:32" ht="24.75" customHeight="1" thickBot="1">
      <c r="B14" s="49">
        <v>5</v>
      </c>
      <c r="C14" s="411">
        <f>+T14+X14+AA14+AD14</f>
        <v>1468</v>
      </c>
      <c r="D14" s="403">
        <f>+T14+$V$10+Y14+AB14+AE14</f>
        <v>1514</v>
      </c>
      <c r="E14" s="412">
        <f>+T14+$W$10+Z14+AC14+AF14</f>
        <v>1536</v>
      </c>
      <c r="F14" s="837"/>
      <c r="G14" s="839"/>
      <c r="H14" s="406">
        <f>SUM($C14,$F$10:$G$14)</f>
        <v>2068</v>
      </c>
      <c r="I14" s="407">
        <f>SUM($D14,$F$10:$G$14)</f>
        <v>2114</v>
      </c>
      <c r="J14" s="407">
        <f>SUM($E14,$F$10:$G$14)</f>
        <v>2136</v>
      </c>
      <c r="P14" s="156">
        <v>5</v>
      </c>
      <c r="Q14" s="292">
        <v>1281</v>
      </c>
      <c r="R14" s="616"/>
      <c r="S14" s="616"/>
      <c r="T14" s="850">
        <f>ROUNDUP(($Q$14+$R$10+$S$10)*$Y$35*$Y$37,0)</f>
        <v>1367</v>
      </c>
      <c r="U14" s="851"/>
      <c r="V14" s="847"/>
      <c r="W14" s="847"/>
      <c r="X14" s="84">
        <f>ROUND(($Q$14+$R$10+$S$10)*$Y$29,0)</f>
        <v>62</v>
      </c>
      <c r="Y14" s="84">
        <f>ROUND(($Q14+$R$10+$S$10+$Y$25)*$Y$29,0)</f>
        <v>64</v>
      </c>
      <c r="Z14" s="84">
        <f>ROUND(($Q14+$R$10+$S$10+$Y$27)*$Y$29,0)</f>
        <v>65</v>
      </c>
      <c r="AA14" s="84">
        <f>ROUND(($Q$14+$R$10+$S$10)*$Y$31,0)</f>
        <v>26</v>
      </c>
      <c r="AB14" s="84">
        <f>ROUND(($Q14+$R$10+$S$10+$Y$25)*$Y$31,0)</f>
        <v>27</v>
      </c>
      <c r="AC14" s="316">
        <f>ROUND(($Q14+$R$10+$S$10+$Y$27)*$Y$31,0)</f>
        <v>28</v>
      </c>
      <c r="AD14" s="84">
        <f>ROUND(($Q$14+$R$10+$S$10)*$Y$33,0)</f>
        <v>13</v>
      </c>
      <c r="AE14" s="84">
        <f>ROUND(($Q14+$R$10+$S$10+$Y$25)*$Y$33,0)</f>
        <v>14</v>
      </c>
      <c r="AF14" s="316">
        <f>ROUND(($Q14+$R$10+$S$10+$Y$27)*$Y$33,0)</f>
        <v>14</v>
      </c>
    </row>
    <row r="15" spans="2:14" ht="14.25" customHeight="1">
      <c r="B15" s="50"/>
      <c r="C15" s="408"/>
      <c r="D15" s="51"/>
      <c r="E15" s="51"/>
      <c r="F15" s="52"/>
      <c r="G15" s="52"/>
      <c r="H15" s="52"/>
      <c r="I15" s="52"/>
      <c r="J15" s="52"/>
      <c r="K15" s="52"/>
      <c r="L15" s="52"/>
      <c r="M15" s="53"/>
      <c r="N15" s="54"/>
    </row>
    <row r="16" spans="2:14" ht="21" customHeight="1">
      <c r="B16" s="42" t="s">
        <v>486</v>
      </c>
      <c r="C16" s="183"/>
      <c r="D16" s="183"/>
      <c r="E16" s="183"/>
      <c r="F16" s="183"/>
      <c r="G16" s="183"/>
      <c r="H16" s="183"/>
      <c r="I16" s="183"/>
      <c r="J16" s="52"/>
      <c r="K16" s="52"/>
      <c r="L16" s="52"/>
      <c r="M16" s="53"/>
      <c r="N16" s="54"/>
    </row>
    <row r="17" spans="2:14" ht="21" customHeight="1">
      <c r="B17" s="42" t="s">
        <v>502</v>
      </c>
      <c r="C17" s="183"/>
      <c r="D17" s="183"/>
      <c r="E17" s="183"/>
      <c r="F17" s="183"/>
      <c r="G17" s="183"/>
      <c r="H17" s="183"/>
      <c r="I17" s="183"/>
      <c r="J17" s="52"/>
      <c r="K17" s="52"/>
      <c r="L17" s="52"/>
      <c r="M17" s="53"/>
      <c r="N17" s="54"/>
    </row>
    <row r="18" spans="2:14" ht="21" customHeight="1">
      <c r="B18" s="42" t="s">
        <v>159</v>
      </c>
      <c r="C18" s="42"/>
      <c r="D18" s="42"/>
      <c r="E18" s="42"/>
      <c r="F18" s="42"/>
      <c r="G18" s="42"/>
      <c r="H18" s="42"/>
      <c r="I18" s="42"/>
      <c r="J18" s="52"/>
      <c r="K18" s="52"/>
      <c r="L18" s="52"/>
      <c r="M18" s="53"/>
      <c r="N18" s="54"/>
    </row>
    <row r="19" spans="2:14" ht="21" customHeight="1">
      <c r="B19" s="184" t="s">
        <v>141</v>
      </c>
      <c r="C19" s="184"/>
      <c r="D19" s="184"/>
      <c r="E19" s="184"/>
      <c r="F19" s="184"/>
      <c r="G19" s="184"/>
      <c r="H19" s="184"/>
      <c r="I19" s="184"/>
      <c r="J19" s="52"/>
      <c r="K19" s="52"/>
      <c r="L19" s="52"/>
      <c r="M19" s="53"/>
      <c r="N19" s="54"/>
    </row>
    <row r="20" spans="2:14" ht="21" customHeight="1">
      <c r="B20" s="184"/>
      <c r="C20" s="184"/>
      <c r="D20" s="184"/>
      <c r="E20" s="184"/>
      <c r="F20" s="184"/>
      <c r="G20" s="184"/>
      <c r="H20" s="184"/>
      <c r="I20" s="184"/>
      <c r="J20" s="52"/>
      <c r="K20" s="52"/>
      <c r="L20" s="52"/>
      <c r="M20" s="53"/>
      <c r="N20" s="54"/>
    </row>
    <row r="21" spans="2:14" ht="21" customHeight="1">
      <c r="B21" s="184"/>
      <c r="C21" s="55"/>
      <c r="D21" s="55"/>
      <c r="E21" s="55"/>
      <c r="F21" s="184"/>
      <c r="G21" s="184"/>
      <c r="H21" s="184"/>
      <c r="I21" s="184"/>
      <c r="K21" s="166"/>
      <c r="M21" s="53"/>
      <c r="N21" s="54"/>
    </row>
    <row r="22" spans="2:14" ht="21" customHeight="1" thickBot="1">
      <c r="B22" s="852" t="s">
        <v>50</v>
      </c>
      <c r="C22" s="852"/>
      <c r="D22" s="852"/>
      <c r="E22" s="852"/>
      <c r="K22" s="166"/>
      <c r="M22" s="53"/>
      <c r="N22" s="54"/>
    </row>
    <row r="23" spans="2:28" ht="10.5" customHeight="1" thickBot="1">
      <c r="B23" s="410" t="s">
        <v>85</v>
      </c>
      <c r="C23" s="317"/>
      <c r="D23" s="317"/>
      <c r="E23" s="317"/>
      <c r="F23" s="317"/>
      <c r="G23" s="318"/>
      <c r="X23" s="322"/>
      <c r="Y23" s="322"/>
      <c r="Z23" s="322"/>
      <c r="AA23" s="102"/>
      <c r="AB23" s="162"/>
    </row>
    <row r="24" spans="1:28" ht="27" customHeight="1" thickBot="1" thickTop="1">
      <c r="A24" s="856" t="s">
        <v>170</v>
      </c>
      <c r="B24" s="889" t="s">
        <v>452</v>
      </c>
      <c r="C24" s="890"/>
      <c r="D24" s="890"/>
      <c r="E24" s="858">
        <v>104</v>
      </c>
      <c r="F24" s="859"/>
      <c r="G24" s="860"/>
      <c r="H24" s="42" t="s">
        <v>449</v>
      </c>
      <c r="I24" s="104"/>
      <c r="J24" s="104"/>
      <c r="K24" s="100"/>
      <c r="L24" s="104"/>
      <c r="X24" s="322"/>
      <c r="Y24" s="322"/>
      <c r="Z24" s="322"/>
      <c r="AA24" s="102"/>
      <c r="AB24" s="162"/>
    </row>
    <row r="25" spans="1:27" ht="25.5" customHeight="1" thickBot="1">
      <c r="A25" s="857"/>
      <c r="B25" s="893" t="s">
        <v>387</v>
      </c>
      <c r="C25" s="894"/>
      <c r="D25" s="894"/>
      <c r="E25" s="861">
        <v>-49</v>
      </c>
      <c r="F25" s="862"/>
      <c r="G25" s="863"/>
      <c r="H25" s="98" t="s">
        <v>488</v>
      </c>
      <c r="I25" s="42"/>
      <c r="J25" s="100"/>
      <c r="K25" s="42"/>
      <c r="L25" s="42"/>
      <c r="U25" s="853" t="s">
        <v>378</v>
      </c>
      <c r="V25" s="854"/>
      <c r="W25" s="854"/>
      <c r="X25" s="855"/>
      <c r="Y25" s="312">
        <v>40</v>
      </c>
      <c r="Z25" s="162"/>
      <c r="AA25" s="162"/>
    </row>
    <row r="26" spans="1:27" ht="24" customHeight="1" thickBot="1">
      <c r="A26" s="857"/>
      <c r="B26" s="864" t="s">
        <v>400</v>
      </c>
      <c r="C26" s="865"/>
      <c r="D26" s="865"/>
      <c r="E26" s="842" t="s">
        <v>337</v>
      </c>
      <c r="F26" s="843"/>
      <c r="G26" s="844"/>
      <c r="H26" s="98" t="s">
        <v>487</v>
      </c>
      <c r="I26" s="42"/>
      <c r="J26" s="42"/>
      <c r="K26" s="42"/>
      <c r="L26" s="42"/>
      <c r="M26" s="42"/>
      <c r="N26" s="42"/>
      <c r="O26" s="42"/>
      <c r="U26" s="854"/>
      <c r="V26" s="854"/>
      <c r="W26" s="854"/>
      <c r="X26" s="854"/>
      <c r="Y26" s="321"/>
      <c r="Z26" s="162"/>
      <c r="AA26" s="162"/>
    </row>
    <row r="27" spans="1:27" ht="24" customHeight="1" thickBot="1">
      <c r="A27" s="857"/>
      <c r="B27" s="864" t="s">
        <v>405</v>
      </c>
      <c r="C27" s="865"/>
      <c r="D27" s="865"/>
      <c r="E27" s="842" t="s">
        <v>338</v>
      </c>
      <c r="F27" s="843"/>
      <c r="G27" s="844"/>
      <c r="H27" s="104" t="s">
        <v>311</v>
      </c>
      <c r="I27" s="184"/>
      <c r="J27" s="184"/>
      <c r="K27" s="184"/>
      <c r="L27" s="184"/>
      <c r="M27" s="42"/>
      <c r="N27" s="42"/>
      <c r="O27" s="42"/>
      <c r="U27" s="853" t="s">
        <v>406</v>
      </c>
      <c r="V27" s="854"/>
      <c r="W27" s="854"/>
      <c r="X27" s="855"/>
      <c r="Y27" s="312">
        <v>60</v>
      </c>
      <c r="Z27" s="162"/>
      <c r="AA27" s="162"/>
    </row>
    <row r="28" spans="1:23" ht="24" customHeight="1" thickBot="1">
      <c r="A28" s="857"/>
      <c r="B28" s="864" t="s">
        <v>401</v>
      </c>
      <c r="C28" s="865"/>
      <c r="D28" s="865"/>
      <c r="E28" s="842" t="s">
        <v>395</v>
      </c>
      <c r="F28" s="843"/>
      <c r="G28" s="844"/>
      <c r="H28" s="100" t="s">
        <v>310</v>
      </c>
      <c r="I28" s="182"/>
      <c r="J28" s="182"/>
      <c r="K28" s="182"/>
      <c r="L28" s="182"/>
      <c r="M28" s="42"/>
      <c r="N28" s="42"/>
      <c r="O28" s="42"/>
      <c r="U28" s="311"/>
      <c r="V28" s="311"/>
      <c r="W28" s="311"/>
    </row>
    <row r="29" spans="1:27" ht="24" customHeight="1" thickBot="1">
      <c r="A29" s="857"/>
      <c r="B29" s="864" t="s">
        <v>403</v>
      </c>
      <c r="C29" s="865"/>
      <c r="D29" s="865"/>
      <c r="E29" s="842" t="s">
        <v>396</v>
      </c>
      <c r="F29" s="843"/>
      <c r="G29" s="844"/>
      <c r="H29" s="104" t="s">
        <v>83</v>
      </c>
      <c r="I29" s="184"/>
      <c r="J29" s="184"/>
      <c r="K29" s="99" t="s">
        <v>84</v>
      </c>
      <c r="L29" s="184"/>
      <c r="M29" s="184"/>
      <c r="N29" s="184"/>
      <c r="O29" s="42"/>
      <c r="U29" s="879" t="s">
        <v>330</v>
      </c>
      <c r="V29" s="880"/>
      <c r="W29" s="880"/>
      <c r="X29" s="881"/>
      <c r="Y29" s="135">
        <f>47/1000</f>
        <v>0.047</v>
      </c>
      <c r="Z29" s="163"/>
      <c r="AA29" s="163"/>
    </row>
    <row r="30" spans="1:27" ht="24" customHeight="1" thickBot="1">
      <c r="A30" s="857"/>
      <c r="B30" s="864" t="s">
        <v>402</v>
      </c>
      <c r="C30" s="865"/>
      <c r="D30" s="865"/>
      <c r="E30" s="842" t="s">
        <v>339</v>
      </c>
      <c r="F30" s="843"/>
      <c r="G30" s="844"/>
      <c r="H30" s="181" t="s">
        <v>314</v>
      </c>
      <c r="I30" s="184"/>
      <c r="J30" s="184"/>
      <c r="K30" s="184"/>
      <c r="L30" s="184"/>
      <c r="M30" s="182"/>
      <c r="N30" s="182"/>
      <c r="O30" s="184"/>
      <c r="U30" s="256"/>
      <c r="V30" s="256"/>
      <c r="W30" s="256"/>
      <c r="X30" s="256"/>
      <c r="Y30" s="163"/>
      <c r="Z30" s="163"/>
      <c r="AA30" s="163"/>
    </row>
    <row r="31" spans="1:27" ht="24" customHeight="1" thickBot="1">
      <c r="A31" s="857"/>
      <c r="B31" s="864" t="s">
        <v>404</v>
      </c>
      <c r="C31" s="865"/>
      <c r="D31" s="865"/>
      <c r="E31" s="842" t="s">
        <v>340</v>
      </c>
      <c r="F31" s="843"/>
      <c r="G31" s="844"/>
      <c r="H31" s="181" t="s">
        <v>313</v>
      </c>
      <c r="I31" s="104"/>
      <c r="J31" s="104"/>
      <c r="K31" s="104"/>
      <c r="L31" s="104"/>
      <c r="M31" s="184"/>
      <c r="N31" s="184"/>
      <c r="O31" s="182"/>
      <c r="U31" s="879" t="s">
        <v>331</v>
      </c>
      <c r="V31" s="880"/>
      <c r="W31" s="880"/>
      <c r="X31" s="881"/>
      <c r="Y31" s="135">
        <v>0.02</v>
      </c>
      <c r="Z31" s="163"/>
      <c r="AA31" s="163"/>
    </row>
    <row r="32" spans="1:27" ht="24" customHeight="1" thickBot="1">
      <c r="A32" s="857"/>
      <c r="B32" s="864" t="s">
        <v>465</v>
      </c>
      <c r="C32" s="865"/>
      <c r="D32" s="865"/>
      <c r="E32" s="842" t="s">
        <v>397</v>
      </c>
      <c r="F32" s="843"/>
      <c r="G32" s="844"/>
      <c r="H32" s="251" t="s">
        <v>312</v>
      </c>
      <c r="I32" s="104"/>
      <c r="J32" s="104"/>
      <c r="K32" s="100"/>
      <c r="L32" s="104"/>
      <c r="M32" s="184"/>
      <c r="N32" s="184"/>
      <c r="O32" s="184"/>
      <c r="T32" s="11"/>
      <c r="U32" s="213"/>
      <c r="V32" s="213"/>
      <c r="W32" s="213"/>
      <c r="X32" s="213"/>
      <c r="Y32" s="163"/>
      <c r="Z32" s="163"/>
      <c r="AA32" s="163"/>
    </row>
    <row r="33" spans="1:27" ht="24" customHeight="1" thickBot="1">
      <c r="A33" s="857"/>
      <c r="B33" s="864" t="s">
        <v>466</v>
      </c>
      <c r="C33" s="865"/>
      <c r="D33" s="865"/>
      <c r="E33" s="842" t="s">
        <v>398</v>
      </c>
      <c r="F33" s="843"/>
      <c r="G33" s="844"/>
      <c r="H33" s="99" t="s">
        <v>84</v>
      </c>
      <c r="I33" s="88"/>
      <c r="J33" s="100"/>
      <c r="K33" s="88"/>
      <c r="L33" s="88"/>
      <c r="M33" s="105"/>
      <c r="N33" s="105"/>
      <c r="O33" s="184"/>
      <c r="P33" s="11"/>
      <c r="T33" s="11"/>
      <c r="U33" s="879" t="s">
        <v>475</v>
      </c>
      <c r="V33" s="880"/>
      <c r="W33" s="880"/>
      <c r="X33" s="881"/>
      <c r="Y33" s="135">
        <v>0.01</v>
      </c>
      <c r="Z33" s="163"/>
      <c r="AA33" s="163"/>
    </row>
    <row r="34" spans="1:19" ht="24" customHeight="1" thickBot="1">
      <c r="A34" s="857"/>
      <c r="B34" s="864" t="s">
        <v>164</v>
      </c>
      <c r="C34" s="865"/>
      <c r="D34" s="865"/>
      <c r="E34" s="885">
        <v>25</v>
      </c>
      <c r="F34" s="886"/>
      <c r="G34" s="887"/>
      <c r="H34" s="99"/>
      <c r="I34" s="88"/>
      <c r="J34" s="100"/>
      <c r="K34" s="88"/>
      <c r="L34" s="88"/>
      <c r="M34" s="88"/>
      <c r="N34" s="88"/>
      <c r="O34" s="105"/>
      <c r="P34" s="11"/>
      <c r="R34" s="11"/>
      <c r="S34" s="11"/>
    </row>
    <row r="35" spans="1:27" ht="24" customHeight="1" thickBot="1">
      <c r="A35" s="857"/>
      <c r="B35" s="895" t="s">
        <v>165</v>
      </c>
      <c r="C35" s="896"/>
      <c r="D35" s="896"/>
      <c r="E35" s="873">
        <v>248</v>
      </c>
      <c r="F35" s="874"/>
      <c r="G35" s="875"/>
      <c r="H35" s="103" t="s">
        <v>450</v>
      </c>
      <c r="J35" s="64"/>
      <c r="K35" s="100"/>
      <c r="M35" s="76"/>
      <c r="N35" s="76"/>
      <c r="O35" s="88"/>
      <c r="P35" s="105"/>
      <c r="Q35" s="105"/>
      <c r="R35" s="105"/>
      <c r="S35" s="105"/>
      <c r="U35" s="853" t="s">
        <v>123</v>
      </c>
      <c r="V35" s="854"/>
      <c r="W35" s="854"/>
      <c r="X35" s="855"/>
      <c r="Y35" s="157">
        <v>10.33</v>
      </c>
      <c r="Z35" s="164"/>
      <c r="AA35" s="164"/>
    </row>
    <row r="36" spans="1:19" ht="24" customHeight="1" thickBot="1">
      <c r="A36" s="857"/>
      <c r="B36" s="891" t="s">
        <v>399</v>
      </c>
      <c r="C36" s="892"/>
      <c r="D36" s="892"/>
      <c r="E36" s="873">
        <v>42</v>
      </c>
      <c r="F36" s="874"/>
      <c r="G36" s="875"/>
      <c r="H36" s="58" t="s">
        <v>87</v>
      </c>
      <c r="I36" s="100"/>
      <c r="K36" s="100"/>
      <c r="L36" s="100"/>
      <c r="M36" s="76"/>
      <c r="N36" s="76"/>
      <c r="O36" s="76"/>
      <c r="P36" s="88"/>
      <c r="Q36" s="88"/>
      <c r="R36" s="88"/>
      <c r="S36" s="88"/>
    </row>
    <row r="37" spans="1:27" ht="24" customHeight="1" thickBot="1" thickTop="1">
      <c r="A37" s="856" t="s">
        <v>71</v>
      </c>
      <c r="B37" s="901" t="s">
        <v>451</v>
      </c>
      <c r="C37" s="902"/>
      <c r="D37" s="902"/>
      <c r="E37" s="867">
        <v>100</v>
      </c>
      <c r="F37" s="868"/>
      <c r="G37" s="869"/>
      <c r="H37" s="58"/>
      <c r="I37" s="99"/>
      <c r="J37" s="99"/>
      <c r="L37" s="100"/>
      <c r="M37" s="97"/>
      <c r="N37" s="97"/>
      <c r="O37" s="76"/>
      <c r="P37" s="76"/>
      <c r="Q37" s="76"/>
      <c r="R37" s="76"/>
      <c r="S37" s="76"/>
      <c r="U37" s="445" t="s">
        <v>124</v>
      </c>
      <c r="V37" s="446"/>
      <c r="W37" s="446"/>
      <c r="X37" s="632"/>
      <c r="Y37" s="146">
        <f>1/10</f>
        <v>0.1</v>
      </c>
      <c r="Z37" s="165"/>
      <c r="AA37" s="165"/>
    </row>
    <row r="38" spans="1:19" ht="24.75" customHeight="1" thickBot="1">
      <c r="A38" s="857"/>
      <c r="B38" s="882" t="s">
        <v>33</v>
      </c>
      <c r="C38" s="883"/>
      <c r="D38" s="883"/>
      <c r="E38" s="873" t="s">
        <v>34</v>
      </c>
      <c r="F38" s="874"/>
      <c r="G38" s="875"/>
      <c r="H38" s="106"/>
      <c r="I38" s="100"/>
      <c r="J38" s="100"/>
      <c r="K38" s="99"/>
      <c r="L38" s="100"/>
      <c r="M38" s="76"/>
      <c r="N38" s="76"/>
      <c r="O38" s="97"/>
      <c r="P38" s="76"/>
      <c r="Q38" s="76"/>
      <c r="R38" s="76"/>
      <c r="S38" s="76"/>
    </row>
    <row r="39" spans="1:28" ht="24.75" customHeight="1" thickBot="1">
      <c r="A39" s="857"/>
      <c r="B39" s="882" t="s">
        <v>51</v>
      </c>
      <c r="C39" s="883"/>
      <c r="D39" s="883"/>
      <c r="E39" s="873">
        <v>20</v>
      </c>
      <c r="F39" s="874"/>
      <c r="G39" s="875"/>
      <c r="H39" s="99"/>
      <c r="I39" s="101"/>
      <c r="J39" s="101"/>
      <c r="L39" s="99"/>
      <c r="M39" s="76"/>
      <c r="N39" s="76"/>
      <c r="O39" s="76"/>
      <c r="P39" s="97"/>
      <c r="Q39" s="97"/>
      <c r="R39" s="97"/>
      <c r="S39" s="97"/>
      <c r="U39" s="870" t="s">
        <v>85</v>
      </c>
      <c r="V39" s="871"/>
      <c r="W39" s="871"/>
      <c r="X39" s="871"/>
      <c r="Y39" s="872"/>
      <c r="Z39" s="81" t="s">
        <v>389</v>
      </c>
      <c r="AA39" s="56"/>
      <c r="AB39" s="11"/>
    </row>
    <row r="40" spans="1:34" ht="24.75" customHeight="1" thickBot="1" thickTop="1">
      <c r="A40" s="857"/>
      <c r="B40" s="882" t="s">
        <v>309</v>
      </c>
      <c r="C40" s="883"/>
      <c r="D40" s="883"/>
      <c r="E40" s="873">
        <v>30</v>
      </c>
      <c r="F40" s="874"/>
      <c r="G40" s="875"/>
      <c r="H40" s="99"/>
      <c r="J40" s="101"/>
      <c r="K40" s="99"/>
      <c r="L40" s="99"/>
      <c r="M40" s="76"/>
      <c r="N40" s="76"/>
      <c r="O40" s="76"/>
      <c r="P40" s="76"/>
      <c r="Q40" s="76"/>
      <c r="R40" s="76"/>
      <c r="S40" s="76"/>
      <c r="U40" s="876" t="s">
        <v>388</v>
      </c>
      <c r="V40" s="877"/>
      <c r="W40" s="877"/>
      <c r="X40" s="877"/>
      <c r="Y40" s="878"/>
      <c r="Z40" s="159">
        <v>100</v>
      </c>
      <c r="AA40" s="323">
        <f aca="true" t="shared" si="0" ref="AA40:AA51">ROUNDUP($Z40*$Y$35*$Y$37,0)</f>
        <v>104</v>
      </c>
      <c r="AC40" s="882" t="s">
        <v>383</v>
      </c>
      <c r="AD40" s="883"/>
      <c r="AE40" s="883"/>
      <c r="AF40" s="883"/>
      <c r="AG40" s="884"/>
      <c r="AH40" s="160">
        <v>560</v>
      </c>
    </row>
    <row r="41" spans="1:34" ht="24.75" customHeight="1" thickTop="1">
      <c r="A41" s="857"/>
      <c r="B41" s="882" t="s">
        <v>52</v>
      </c>
      <c r="C41" s="883"/>
      <c r="D41" s="883"/>
      <c r="E41" s="873">
        <v>70</v>
      </c>
      <c r="F41" s="874"/>
      <c r="G41" s="875"/>
      <c r="H41" s="99"/>
      <c r="J41" s="102"/>
      <c r="K41" s="99"/>
      <c r="L41" s="102"/>
      <c r="O41" s="76"/>
      <c r="P41" s="76"/>
      <c r="Q41" s="76"/>
      <c r="R41" s="76"/>
      <c r="S41" s="76"/>
      <c r="U41" s="882" t="s">
        <v>387</v>
      </c>
      <c r="V41" s="883"/>
      <c r="W41" s="883"/>
      <c r="X41" s="883"/>
      <c r="Y41" s="883"/>
      <c r="Z41" s="326" t="s">
        <v>390</v>
      </c>
      <c r="AA41" s="327">
        <f t="shared" si="0"/>
        <v>-49</v>
      </c>
      <c r="AC41" s="882" t="s">
        <v>384</v>
      </c>
      <c r="AD41" s="883"/>
      <c r="AE41" s="883"/>
      <c r="AF41" s="883"/>
      <c r="AG41" s="884"/>
      <c r="AH41" s="160">
        <v>240</v>
      </c>
    </row>
    <row r="42" spans="1:34" ht="24.75" customHeight="1">
      <c r="A42" s="857"/>
      <c r="B42" s="882" t="s">
        <v>321</v>
      </c>
      <c r="C42" s="883"/>
      <c r="D42" s="883"/>
      <c r="E42" s="873">
        <v>100</v>
      </c>
      <c r="F42" s="874"/>
      <c r="G42" s="875"/>
      <c r="H42" s="103"/>
      <c r="I42" s="129"/>
      <c r="J42" s="102"/>
      <c r="K42" s="99"/>
      <c r="L42" s="102"/>
      <c r="P42" s="76"/>
      <c r="Q42" s="76"/>
      <c r="R42" s="76"/>
      <c r="S42" s="76"/>
      <c r="T42" s="89"/>
      <c r="U42" s="882" t="s">
        <v>383</v>
      </c>
      <c r="V42" s="883"/>
      <c r="W42" s="883"/>
      <c r="X42" s="883"/>
      <c r="Y42" s="884"/>
      <c r="Z42" s="160">
        <v>560</v>
      </c>
      <c r="AA42" s="324">
        <f t="shared" si="0"/>
        <v>579</v>
      </c>
      <c r="AC42" s="882" t="s">
        <v>391</v>
      </c>
      <c r="AD42" s="883"/>
      <c r="AE42" s="883"/>
      <c r="AF42" s="883"/>
      <c r="AG42" s="884"/>
      <c r="AH42" s="160">
        <v>593</v>
      </c>
    </row>
    <row r="43" spans="1:34" ht="24.75" customHeight="1">
      <c r="A43" s="857"/>
      <c r="B43" s="882" t="s">
        <v>53</v>
      </c>
      <c r="C43" s="883"/>
      <c r="D43" s="883"/>
      <c r="E43" s="873">
        <v>1500</v>
      </c>
      <c r="F43" s="874"/>
      <c r="G43" s="875"/>
      <c r="H43" s="58"/>
      <c r="J43" s="102"/>
      <c r="K43" s="99"/>
      <c r="L43" s="102"/>
      <c r="T43" s="89"/>
      <c r="U43" s="882" t="s">
        <v>384</v>
      </c>
      <c r="V43" s="883"/>
      <c r="W43" s="883"/>
      <c r="X43" s="883"/>
      <c r="Y43" s="884"/>
      <c r="Z43" s="160">
        <v>240</v>
      </c>
      <c r="AA43" s="324">
        <f t="shared" si="0"/>
        <v>248</v>
      </c>
      <c r="AC43" s="882" t="s">
        <v>392</v>
      </c>
      <c r="AD43" s="883"/>
      <c r="AE43" s="883"/>
      <c r="AF43" s="883"/>
      <c r="AG43" s="884"/>
      <c r="AH43" s="160">
        <v>273</v>
      </c>
    </row>
    <row r="44" spans="1:34" ht="24.75" customHeight="1">
      <c r="A44" s="857"/>
      <c r="B44" s="882" t="s">
        <v>36</v>
      </c>
      <c r="C44" s="883"/>
      <c r="D44" s="883"/>
      <c r="E44" s="873">
        <v>500</v>
      </c>
      <c r="F44" s="874"/>
      <c r="G44" s="875"/>
      <c r="H44" s="99"/>
      <c r="J44" s="102"/>
      <c r="K44" s="99"/>
      <c r="L44" s="102"/>
      <c r="R44" s="11"/>
      <c r="S44" s="11"/>
      <c r="T44" s="89"/>
      <c r="U44" s="882" t="s">
        <v>391</v>
      </c>
      <c r="V44" s="883"/>
      <c r="W44" s="883"/>
      <c r="X44" s="883"/>
      <c r="Y44" s="884"/>
      <c r="Z44" s="160">
        <v>593</v>
      </c>
      <c r="AA44" s="324">
        <f t="shared" si="0"/>
        <v>613</v>
      </c>
      <c r="AC44" s="882" t="s">
        <v>385</v>
      </c>
      <c r="AD44" s="883"/>
      <c r="AE44" s="883"/>
      <c r="AF44" s="883"/>
      <c r="AG44" s="884"/>
      <c r="AH44" s="160">
        <v>830</v>
      </c>
    </row>
    <row r="45" spans="1:34" ht="24.75" customHeight="1">
      <c r="A45" s="857"/>
      <c r="B45" s="882" t="s">
        <v>54</v>
      </c>
      <c r="C45" s="883"/>
      <c r="D45" s="883"/>
      <c r="E45" s="888" t="s">
        <v>373</v>
      </c>
      <c r="F45" s="796"/>
      <c r="G45" s="797"/>
      <c r="H45" s="99"/>
      <c r="J45" s="102"/>
      <c r="K45" s="99"/>
      <c r="L45" s="102"/>
      <c r="T45" s="82"/>
      <c r="U45" s="882" t="s">
        <v>392</v>
      </c>
      <c r="V45" s="883"/>
      <c r="W45" s="883"/>
      <c r="X45" s="883"/>
      <c r="Y45" s="884"/>
      <c r="Z45" s="160">
        <v>273</v>
      </c>
      <c r="AA45" s="324">
        <f t="shared" si="0"/>
        <v>283</v>
      </c>
      <c r="AC45" s="882" t="s">
        <v>386</v>
      </c>
      <c r="AD45" s="883"/>
      <c r="AE45" s="883"/>
      <c r="AF45" s="883"/>
      <c r="AG45" s="884"/>
      <c r="AH45" s="160">
        <v>510</v>
      </c>
    </row>
    <row r="46" spans="1:34" ht="24.75" customHeight="1">
      <c r="A46" s="857"/>
      <c r="B46" s="905" t="s">
        <v>64</v>
      </c>
      <c r="C46" s="796"/>
      <c r="D46" s="796"/>
      <c r="E46" s="888" t="s">
        <v>374</v>
      </c>
      <c r="F46" s="796"/>
      <c r="G46" s="797"/>
      <c r="H46" s="104"/>
      <c r="I46" s="94"/>
      <c r="J46" s="102"/>
      <c r="K46" s="99"/>
      <c r="L46" s="102"/>
      <c r="U46" s="882" t="s">
        <v>385</v>
      </c>
      <c r="V46" s="883"/>
      <c r="W46" s="883"/>
      <c r="X46" s="883"/>
      <c r="Y46" s="884"/>
      <c r="Z46" s="160">
        <v>830</v>
      </c>
      <c r="AA46" s="324">
        <f t="shared" si="0"/>
        <v>858</v>
      </c>
      <c r="AC46" s="882" t="s">
        <v>393</v>
      </c>
      <c r="AD46" s="883"/>
      <c r="AE46" s="883"/>
      <c r="AF46" s="883"/>
      <c r="AG46" s="884"/>
      <c r="AH46" s="160">
        <v>863</v>
      </c>
    </row>
    <row r="47" spans="1:34" ht="24.75" customHeight="1">
      <c r="A47" s="857"/>
      <c r="B47" s="905" t="s">
        <v>65</v>
      </c>
      <c r="C47" s="796"/>
      <c r="D47" s="796"/>
      <c r="E47" s="888" t="s">
        <v>375</v>
      </c>
      <c r="F47" s="796"/>
      <c r="G47" s="797"/>
      <c r="H47" s="52"/>
      <c r="I47" s="99"/>
      <c r="K47" s="102"/>
      <c r="L47" s="99"/>
      <c r="U47" s="882" t="s">
        <v>386</v>
      </c>
      <c r="V47" s="883"/>
      <c r="W47" s="883"/>
      <c r="X47" s="883"/>
      <c r="Y47" s="884"/>
      <c r="Z47" s="160">
        <v>510</v>
      </c>
      <c r="AA47" s="324">
        <f t="shared" si="0"/>
        <v>527</v>
      </c>
      <c r="AC47" s="882" t="s">
        <v>394</v>
      </c>
      <c r="AD47" s="883"/>
      <c r="AE47" s="883"/>
      <c r="AF47" s="883"/>
      <c r="AG47" s="884"/>
      <c r="AH47" s="160">
        <v>543</v>
      </c>
    </row>
    <row r="48" spans="1:27" ht="24.75" customHeight="1">
      <c r="A48" s="857"/>
      <c r="B48" s="882" t="s">
        <v>55</v>
      </c>
      <c r="C48" s="883"/>
      <c r="D48" s="883"/>
      <c r="E48" s="873">
        <v>1000</v>
      </c>
      <c r="F48" s="874"/>
      <c r="G48" s="875"/>
      <c r="H48" s="52"/>
      <c r="I48" s="99"/>
      <c r="J48" s="57"/>
      <c r="Q48" s="11"/>
      <c r="T48" s="89"/>
      <c r="U48" s="882" t="s">
        <v>393</v>
      </c>
      <c r="V48" s="883"/>
      <c r="W48" s="883"/>
      <c r="X48" s="883"/>
      <c r="Y48" s="884"/>
      <c r="Z48" s="160">
        <v>863</v>
      </c>
      <c r="AA48" s="324">
        <f t="shared" si="0"/>
        <v>892</v>
      </c>
    </row>
    <row r="49" spans="1:29" ht="24.75" customHeight="1" thickBot="1">
      <c r="A49" s="866"/>
      <c r="B49" s="903" t="s">
        <v>56</v>
      </c>
      <c r="C49" s="904"/>
      <c r="D49" s="904"/>
      <c r="E49" s="898">
        <v>800</v>
      </c>
      <c r="F49" s="899"/>
      <c r="G49" s="900"/>
      <c r="I49" s="42"/>
      <c r="J49" s="57"/>
      <c r="R49" s="11"/>
      <c r="U49" s="882" t="s">
        <v>394</v>
      </c>
      <c r="V49" s="883"/>
      <c r="W49" s="883"/>
      <c r="X49" s="883"/>
      <c r="Y49" s="884"/>
      <c r="Z49" s="160">
        <v>543</v>
      </c>
      <c r="AA49" s="324">
        <f t="shared" si="0"/>
        <v>561</v>
      </c>
      <c r="AB49" s="83"/>
      <c r="AC49" s="83"/>
    </row>
    <row r="50" spans="2:27" ht="24.75" customHeight="1">
      <c r="B50" s="128"/>
      <c r="C50" s="128"/>
      <c r="D50" s="128"/>
      <c r="E50" s="128"/>
      <c r="F50" s="128"/>
      <c r="I50" s="42"/>
      <c r="R50" s="89"/>
      <c r="U50" s="882" t="s">
        <v>131</v>
      </c>
      <c r="V50" s="883"/>
      <c r="W50" s="883"/>
      <c r="X50" s="883"/>
      <c r="Y50" s="884"/>
      <c r="Z50" s="160">
        <v>24</v>
      </c>
      <c r="AA50" s="324">
        <f t="shared" si="0"/>
        <v>25</v>
      </c>
    </row>
    <row r="51" spans="3:27" ht="24.75" customHeight="1">
      <c r="C51" s="42" t="s">
        <v>166</v>
      </c>
      <c r="D51" s="42"/>
      <c r="E51" s="42"/>
      <c r="F51" s="128"/>
      <c r="K51" s="42"/>
      <c r="L51" s="57"/>
      <c r="R51" s="89"/>
      <c r="U51" s="895" t="s">
        <v>104</v>
      </c>
      <c r="V51" s="896"/>
      <c r="W51" s="896"/>
      <c r="X51" s="896"/>
      <c r="Y51" s="897"/>
      <c r="Z51" s="161">
        <v>240</v>
      </c>
      <c r="AA51" s="324">
        <f t="shared" si="0"/>
        <v>248</v>
      </c>
    </row>
    <row r="52" spans="3:27" ht="20.25" customHeight="1">
      <c r="C52" s="42" t="s">
        <v>142</v>
      </c>
      <c r="D52" s="42"/>
      <c r="E52" s="42"/>
      <c r="J52" s="240"/>
      <c r="K52" s="61"/>
      <c r="L52" s="57"/>
      <c r="T52" s="82"/>
      <c r="U52" s="895" t="s">
        <v>399</v>
      </c>
      <c r="V52" s="896"/>
      <c r="W52" s="896"/>
      <c r="X52" s="896"/>
      <c r="Y52" s="897"/>
      <c r="Z52" s="20">
        <v>40</v>
      </c>
      <c r="AA52" s="324">
        <f>ROUNDUP($Z52*$Y$35*$Y$37,0)</f>
        <v>42</v>
      </c>
    </row>
    <row r="53" spans="3:23" ht="20.25" customHeight="1">
      <c r="C53" s="58"/>
      <c r="D53" s="58"/>
      <c r="E53" s="58"/>
      <c r="G53" s="60"/>
      <c r="H53" s="240"/>
      <c r="I53" s="240"/>
      <c r="K53" s="25"/>
      <c r="W53" s="89"/>
    </row>
    <row r="54" spans="3:29" ht="20.25" customHeight="1">
      <c r="C54" s="409"/>
      <c r="D54" s="59"/>
      <c r="E54" s="59"/>
      <c r="F54" s="240"/>
      <c r="H54" s="61" t="s">
        <v>23</v>
      </c>
      <c r="I54" s="61"/>
      <c r="J54" s="61" t="s">
        <v>24</v>
      </c>
      <c r="K54" s="61"/>
      <c r="L54" s="61"/>
      <c r="M54" s="61"/>
      <c r="W54" s="82"/>
      <c r="AB54" s="83"/>
      <c r="AC54" s="83"/>
    </row>
    <row r="55" spans="6:18" ht="19.5" customHeight="1">
      <c r="F55" s="60"/>
      <c r="M55" s="17"/>
      <c r="Q55" s="5"/>
      <c r="R55" s="5"/>
    </row>
    <row r="56" spans="13:27" ht="14.25">
      <c r="M56" s="17"/>
      <c r="X56" s="83"/>
      <c r="Y56" s="83"/>
      <c r="Z56" s="83"/>
      <c r="AA56" s="83"/>
    </row>
    <row r="57" spans="24:27" ht="14.25">
      <c r="X57" s="82"/>
      <c r="Y57" s="82"/>
      <c r="Z57" s="82"/>
      <c r="AA57" s="82"/>
    </row>
    <row r="58" spans="24:27" ht="14.25">
      <c r="X58" s="82"/>
      <c r="Y58" s="82"/>
      <c r="Z58" s="82"/>
      <c r="AA58" s="82"/>
    </row>
    <row r="59" ht="14.25">
      <c r="M59" s="5"/>
    </row>
    <row r="60" ht="21.75" customHeight="1"/>
    <row r="61" ht="25.5" customHeight="1"/>
    <row r="62" ht="25.5" customHeight="1"/>
    <row r="63" ht="25.5" customHeight="1"/>
    <row r="64" ht="25.5" customHeight="1"/>
    <row r="65" ht="25.5" customHeight="1"/>
    <row r="66" ht="25.5" customHeight="1"/>
    <row r="67" ht="25.5" customHeight="1"/>
    <row r="68" ht="25.5" customHeight="1"/>
    <row r="69" ht="25.5" customHeight="1"/>
  </sheetData>
  <sheetProtection/>
  <mergeCells count="122">
    <mergeCell ref="B32:D32"/>
    <mergeCell ref="B31:D31"/>
    <mergeCell ref="B39:D39"/>
    <mergeCell ref="B38:D38"/>
    <mergeCell ref="B37:D37"/>
    <mergeCell ref="B49:D49"/>
    <mergeCell ref="B48:D48"/>
    <mergeCell ref="B47:D47"/>
    <mergeCell ref="B46:D46"/>
    <mergeCell ref="B45:D45"/>
    <mergeCell ref="B35:D35"/>
    <mergeCell ref="B34:D34"/>
    <mergeCell ref="B33:D33"/>
    <mergeCell ref="B44:D44"/>
    <mergeCell ref="U52:Y52"/>
    <mergeCell ref="U50:Y50"/>
    <mergeCell ref="E49:G49"/>
    <mergeCell ref="U51:Y51"/>
    <mergeCell ref="U48:Y48"/>
    <mergeCell ref="U49:Y49"/>
    <mergeCell ref="E44:G44"/>
    <mergeCell ref="U46:Y46"/>
    <mergeCell ref="B40:D40"/>
    <mergeCell ref="C8:C9"/>
    <mergeCell ref="E48:G48"/>
    <mergeCell ref="E46:G46"/>
    <mergeCell ref="E47:G47"/>
    <mergeCell ref="E42:G42"/>
    <mergeCell ref="B25:D25"/>
    <mergeCell ref="B24:D24"/>
    <mergeCell ref="B28:D28"/>
    <mergeCell ref="B27:D27"/>
    <mergeCell ref="B26:D26"/>
    <mergeCell ref="U47:Y47"/>
    <mergeCell ref="E39:G39"/>
    <mergeCell ref="B43:D43"/>
    <mergeCell ref="B42:D42"/>
    <mergeCell ref="E29:G29"/>
    <mergeCell ref="B36:D36"/>
    <mergeCell ref="AC47:AG47"/>
    <mergeCell ref="AC43:AG43"/>
    <mergeCell ref="B41:D41"/>
    <mergeCell ref="U44:Y44"/>
    <mergeCell ref="AC44:AG44"/>
    <mergeCell ref="E43:G43"/>
    <mergeCell ref="U45:Y45"/>
    <mergeCell ref="U41:Y41"/>
    <mergeCell ref="AC41:AG41"/>
    <mergeCell ref="U42:Y42"/>
    <mergeCell ref="AC42:AG42"/>
    <mergeCell ref="AC46:AG46"/>
    <mergeCell ref="E45:G45"/>
    <mergeCell ref="E41:G41"/>
    <mergeCell ref="U43:Y43"/>
    <mergeCell ref="AC45:AG45"/>
    <mergeCell ref="AC40:AG40"/>
    <mergeCell ref="E31:G31"/>
    <mergeCell ref="U33:X33"/>
    <mergeCell ref="E35:G35"/>
    <mergeCell ref="U37:X37"/>
    <mergeCell ref="E36:G36"/>
    <mergeCell ref="U35:X35"/>
    <mergeCell ref="E34:G34"/>
    <mergeCell ref="U31:X31"/>
    <mergeCell ref="E40:G40"/>
    <mergeCell ref="A37:A49"/>
    <mergeCell ref="E37:G37"/>
    <mergeCell ref="U39:Y39"/>
    <mergeCell ref="E38:G38"/>
    <mergeCell ref="U40:Y40"/>
    <mergeCell ref="E27:G27"/>
    <mergeCell ref="U29:X29"/>
    <mergeCell ref="E28:G28"/>
    <mergeCell ref="E32:G32"/>
    <mergeCell ref="E33:G33"/>
    <mergeCell ref="E30:G30"/>
    <mergeCell ref="B22:E22"/>
    <mergeCell ref="U25:X25"/>
    <mergeCell ref="A24:A36"/>
    <mergeCell ref="E24:G24"/>
    <mergeCell ref="U26:X26"/>
    <mergeCell ref="E25:G25"/>
    <mergeCell ref="U27:X27"/>
    <mergeCell ref="B30:D30"/>
    <mergeCell ref="B29:D29"/>
    <mergeCell ref="E26:G26"/>
    <mergeCell ref="V10:V14"/>
    <mergeCell ref="W10:W14"/>
    <mergeCell ref="T11:U11"/>
    <mergeCell ref="T12:U12"/>
    <mergeCell ref="T13:U13"/>
    <mergeCell ref="T14:U14"/>
    <mergeCell ref="AA8:AC8"/>
    <mergeCell ref="AD8:AF8"/>
    <mergeCell ref="T9:U9"/>
    <mergeCell ref="F10:F14"/>
    <mergeCell ref="G10:G14"/>
    <mergeCell ref="R10:R14"/>
    <mergeCell ref="P8:P9"/>
    <mergeCell ref="Q8:Q9"/>
    <mergeCell ref="S10:S14"/>
    <mergeCell ref="T10:U10"/>
    <mergeCell ref="T8:U8"/>
    <mergeCell ref="V8:V9"/>
    <mergeCell ref="W7:AB7"/>
    <mergeCell ref="B8:B9"/>
    <mergeCell ref="F8:F9"/>
    <mergeCell ref="G8:G9"/>
    <mergeCell ref="D8:D9"/>
    <mergeCell ref="E8:E9"/>
    <mergeCell ref="W8:W9"/>
    <mergeCell ref="X8:Z8"/>
    <mergeCell ref="B4:G4"/>
    <mergeCell ref="H4:J4"/>
    <mergeCell ref="B6:E6"/>
    <mergeCell ref="F7:G7"/>
    <mergeCell ref="R8:R9"/>
    <mergeCell ref="S8:S9"/>
    <mergeCell ref="C7:E7"/>
    <mergeCell ref="H7:H9"/>
    <mergeCell ref="I7:I9"/>
    <mergeCell ref="J7:J9"/>
  </mergeCells>
  <printOptions horizontalCentered="1"/>
  <pageMargins left="0.11811023622047245" right="0" top="0.1968503937007874" bottom="0.1968503937007874" header="0" footer="0"/>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13"/>
  </sheetPr>
  <dimension ref="A2:AM69"/>
  <sheetViews>
    <sheetView zoomScaleSheetLayoutView="42" zoomScalePageLayoutView="0" workbookViewId="0" topLeftCell="A1">
      <selection activeCell="T11" sqref="T11"/>
    </sheetView>
  </sheetViews>
  <sheetFormatPr defaultColWidth="9.00390625" defaultRowHeight="13.5"/>
  <cols>
    <col min="1" max="1" width="3.875" style="0" customWidth="1"/>
    <col min="2" max="2" width="7.625" style="0" customWidth="1"/>
    <col min="3" max="5" width="15.625" style="0" customWidth="1"/>
    <col min="6" max="7" width="9.50390625" style="0" customWidth="1"/>
    <col min="8" max="10" width="16.625" style="0" customWidth="1"/>
    <col min="11" max="11" width="12.625" style="0" customWidth="1"/>
    <col min="12" max="12" width="14.125" style="0" customWidth="1"/>
    <col min="13" max="13" width="7.375" style="0" customWidth="1"/>
    <col min="14" max="14" width="11.50390625" style="0" customWidth="1"/>
    <col min="15" max="15" width="7.75390625" style="0" customWidth="1"/>
    <col min="16" max="21" width="11.50390625" style="0" customWidth="1"/>
    <col min="22" max="22" width="10.00390625" style="0" customWidth="1"/>
    <col min="23" max="23" width="6.75390625" style="0" customWidth="1"/>
    <col min="24" max="24" width="10.625" style="0" customWidth="1"/>
    <col min="25" max="25" width="5.00390625" style="0" customWidth="1"/>
    <col min="26" max="27" width="7.00390625" style="0" customWidth="1"/>
    <col min="28" max="28" width="7.50390625" style="0" customWidth="1"/>
    <col min="31" max="32" width="8.875" style="0" customWidth="1"/>
    <col min="33" max="36" width="10.625" style="0" customWidth="1"/>
    <col min="37" max="37" width="10.75390625" style="0" customWidth="1"/>
    <col min="38" max="38" width="10.625" style="0" customWidth="1"/>
    <col min="40" max="42" width="9.875" style="0" customWidth="1"/>
  </cols>
  <sheetData>
    <row r="2" spans="2:12" ht="21">
      <c r="B2" s="1"/>
      <c r="C2" s="46" t="s">
        <v>0</v>
      </c>
      <c r="D2" s="46"/>
      <c r="E2" s="46"/>
      <c r="F2" s="46"/>
      <c r="G2" s="1"/>
      <c r="H2" s="47" t="s">
        <v>1</v>
      </c>
      <c r="I2" s="47"/>
      <c r="J2" s="47"/>
      <c r="K2" s="12"/>
      <c r="L2" s="12"/>
    </row>
    <row r="3" spans="10:36" ht="17.25" customHeight="1">
      <c r="J3" s="5" t="s">
        <v>474</v>
      </c>
      <c r="K3" s="5"/>
      <c r="M3" s="5"/>
      <c r="P3" s="17"/>
      <c r="Q3" s="17"/>
      <c r="R3" s="17"/>
      <c r="S3" s="17"/>
      <c r="T3" s="17"/>
      <c r="U3" s="17"/>
      <c r="V3" s="17"/>
      <c r="Z3" s="906" t="s">
        <v>188</v>
      </c>
      <c r="AA3" s="907"/>
      <c r="AB3" s="907"/>
      <c r="AC3" s="907"/>
      <c r="AD3" s="907"/>
      <c r="AE3" s="907"/>
      <c r="AF3" s="907"/>
      <c r="AG3" s="907"/>
      <c r="AH3" s="907"/>
      <c r="AI3" s="908"/>
      <c r="AJ3" s="102"/>
    </row>
    <row r="4" spans="10:36" ht="17.25" customHeight="1" thickBot="1">
      <c r="J4" s="5"/>
      <c r="K4" s="5"/>
      <c r="M4" s="5"/>
      <c r="P4" s="17"/>
      <c r="Q4" s="17"/>
      <c r="R4" s="17"/>
      <c r="S4" s="17"/>
      <c r="T4" s="17"/>
      <c r="U4" s="17"/>
      <c r="V4" s="17"/>
      <c r="Z4" s="909"/>
      <c r="AA4" s="910"/>
      <c r="AB4" s="910"/>
      <c r="AC4" s="910"/>
      <c r="AD4" s="910"/>
      <c r="AE4" s="910"/>
      <c r="AF4" s="910"/>
      <c r="AG4" s="910"/>
      <c r="AH4" s="910"/>
      <c r="AI4" s="911"/>
      <c r="AJ4" s="102"/>
    </row>
    <row r="5" spans="2:36" ht="20.25" customHeight="1" thickBot="1">
      <c r="B5" s="602" t="s">
        <v>47</v>
      </c>
      <c r="C5" s="603"/>
      <c r="D5" s="603"/>
      <c r="E5" s="603"/>
      <c r="F5" s="603"/>
      <c r="G5" s="603"/>
      <c r="H5" s="603"/>
      <c r="I5" s="604"/>
      <c r="J5" s="605"/>
      <c r="K5" s="607"/>
      <c r="Z5" s="912"/>
      <c r="AA5" s="913"/>
      <c r="AB5" s="913"/>
      <c r="AC5" s="913"/>
      <c r="AD5" s="913"/>
      <c r="AE5" s="913"/>
      <c r="AF5" s="913"/>
      <c r="AG5" s="913"/>
      <c r="AH5" s="913"/>
      <c r="AI5" s="914"/>
      <c r="AJ5" s="102"/>
    </row>
    <row r="6" spans="2:35" ht="9" customHeight="1">
      <c r="B6" s="320"/>
      <c r="C6" s="320"/>
      <c r="D6" s="320"/>
      <c r="E6" s="320"/>
      <c r="F6" s="320"/>
      <c r="G6" s="320"/>
      <c r="H6" s="320"/>
      <c r="I6" s="320"/>
      <c r="J6" s="298"/>
      <c r="K6" s="14"/>
      <c r="Y6" s="102"/>
      <c r="Z6" s="102"/>
      <c r="AA6" s="102"/>
      <c r="AB6" s="102"/>
      <c r="AC6" s="102"/>
      <c r="AD6" s="102"/>
      <c r="AE6" s="102"/>
      <c r="AF6" s="102"/>
      <c r="AG6" s="217"/>
      <c r="AH6" s="218"/>
      <c r="AI6" s="102"/>
    </row>
    <row r="7" spans="2:35" ht="24" customHeight="1" thickBot="1">
      <c r="B7" s="606" t="s">
        <v>3</v>
      </c>
      <c r="C7" s="606"/>
      <c r="D7" s="298"/>
      <c r="E7" s="298"/>
      <c r="F7" s="298"/>
      <c r="K7" s="14"/>
      <c r="Y7" s="102"/>
      <c r="Z7" s="102"/>
      <c r="AA7" s="102"/>
      <c r="AB7" s="102"/>
      <c r="AC7" s="102"/>
      <c r="AD7" s="102"/>
      <c r="AE7" s="102"/>
      <c r="AF7" s="102"/>
      <c r="AG7" s="102"/>
      <c r="AH7" s="335"/>
      <c r="AI7" s="102"/>
    </row>
    <row r="8" spans="2:37" ht="18" customHeight="1" thickBot="1">
      <c r="B8" s="124"/>
      <c r="C8" s="820" t="s">
        <v>498</v>
      </c>
      <c r="D8" s="821"/>
      <c r="E8" s="821"/>
      <c r="F8" s="818" t="s">
        <v>71</v>
      </c>
      <c r="G8" s="819"/>
      <c r="H8" s="935" t="s">
        <v>491</v>
      </c>
      <c r="I8" s="460" t="s">
        <v>492</v>
      </c>
      <c r="J8" s="643" t="s">
        <v>493</v>
      </c>
      <c r="K8" s="313"/>
      <c r="L8" s="313"/>
      <c r="M8" s="313"/>
      <c r="N8" s="313"/>
      <c r="O8" s="313"/>
      <c r="P8" s="313"/>
      <c r="Q8" s="313"/>
      <c r="U8" s="377" t="s">
        <v>6</v>
      </c>
      <c r="V8" s="375" t="s">
        <v>125</v>
      </c>
      <c r="W8" s="375" t="s">
        <v>140</v>
      </c>
      <c r="X8" s="378" t="s">
        <v>120</v>
      </c>
      <c r="Y8" s="915" t="s">
        <v>96</v>
      </c>
      <c r="Z8" s="916"/>
      <c r="AA8" s="375" t="s">
        <v>427</v>
      </c>
      <c r="AB8" s="375" t="s">
        <v>428</v>
      </c>
      <c r="AC8" s="833" t="s">
        <v>327</v>
      </c>
      <c r="AD8" s="834"/>
      <c r="AE8" s="835"/>
      <c r="AF8" s="833" t="s">
        <v>328</v>
      </c>
      <c r="AG8" s="834"/>
      <c r="AH8" s="835"/>
      <c r="AI8" s="833" t="s">
        <v>482</v>
      </c>
      <c r="AJ8" s="834"/>
      <c r="AK8" s="835"/>
    </row>
    <row r="9" spans="2:37" ht="36" customHeight="1" thickBot="1">
      <c r="B9" s="829" t="s">
        <v>6</v>
      </c>
      <c r="C9" s="663" t="s">
        <v>499</v>
      </c>
      <c r="D9" s="663" t="s">
        <v>500</v>
      </c>
      <c r="E9" s="663" t="s">
        <v>496</v>
      </c>
      <c r="F9" s="457" t="s">
        <v>48</v>
      </c>
      <c r="G9" s="458" t="s">
        <v>11</v>
      </c>
      <c r="H9" s="936"/>
      <c r="I9" s="461"/>
      <c r="J9" s="644"/>
      <c r="K9" s="313"/>
      <c r="U9" s="376"/>
      <c r="V9" s="373"/>
      <c r="W9" s="373"/>
      <c r="X9" s="379"/>
      <c r="Y9" s="534" t="s">
        <v>333</v>
      </c>
      <c r="Z9" s="539"/>
      <c r="AA9" s="373"/>
      <c r="AB9" s="373"/>
      <c r="AC9" s="386" t="s">
        <v>78</v>
      </c>
      <c r="AD9" s="392" t="s">
        <v>427</v>
      </c>
      <c r="AE9" s="397" t="s">
        <v>428</v>
      </c>
      <c r="AF9" s="390" t="s">
        <v>78</v>
      </c>
      <c r="AG9" s="392" t="s">
        <v>427</v>
      </c>
      <c r="AH9" s="401" t="s">
        <v>430</v>
      </c>
      <c r="AI9" s="390" t="s">
        <v>78</v>
      </c>
      <c r="AJ9" s="392" t="s">
        <v>427</v>
      </c>
      <c r="AK9" s="401" t="s">
        <v>430</v>
      </c>
    </row>
    <row r="10" spans="2:37" ht="24.75" customHeight="1" thickBot="1">
      <c r="B10" s="830"/>
      <c r="C10" s="669"/>
      <c r="D10" s="669"/>
      <c r="E10" s="669"/>
      <c r="F10" s="459"/>
      <c r="G10" s="459"/>
      <c r="H10" s="937"/>
      <c r="I10" s="462"/>
      <c r="J10" s="645"/>
      <c r="K10" s="313"/>
      <c r="U10" s="154">
        <v>1</v>
      </c>
      <c r="V10" s="290">
        <v>710</v>
      </c>
      <c r="W10" s="917">
        <v>20</v>
      </c>
      <c r="X10" s="917">
        <v>22</v>
      </c>
      <c r="Y10" s="840">
        <f>ROUNDUP(($U20+$V$20+$W$20)*$AD$38*$AD$41,0)</f>
        <v>2331</v>
      </c>
      <c r="Z10" s="841"/>
      <c r="AA10" s="845">
        <f>ROUNDUP($AG$28*$AD$38*$AD$41,0)</f>
        <v>124</v>
      </c>
      <c r="AB10" s="845">
        <f>ROUNDUP($AG$29*$AD$38*$AD$41,0)</f>
        <v>186</v>
      </c>
      <c r="AC10" s="387">
        <f>ROUND(($V$10+$W$10+$X$10)*$AG$32,0)</f>
        <v>35</v>
      </c>
      <c r="AD10" s="393">
        <f>ROUND(($V10+$W$10+$X$10+$AG$28)*$AG$32,0)</f>
        <v>37</v>
      </c>
      <c r="AE10" s="398">
        <f>ROUND(($V10+$W$10+$X$10+$AG$29)*$AG$32,0)</f>
        <v>38</v>
      </c>
      <c r="AF10" s="391">
        <f>ROUND(($V10+$W$10+$X$10)*$AG$34,0)</f>
        <v>15</v>
      </c>
      <c r="AG10" s="396">
        <f>ROUND(($V10+$W$10+$X$10+$AG$28)*$AG$34,0)</f>
        <v>16</v>
      </c>
      <c r="AH10" s="402">
        <f>ROUND(($V10+$W$10+$X$10+$AG$29)*$AG$34,0)</f>
        <v>16</v>
      </c>
      <c r="AI10" s="391">
        <f>ROUND(($V10+$W$10+$X$10)*$AD$36,0)</f>
        <v>8</v>
      </c>
      <c r="AJ10" s="396">
        <f>ROUND(($V10+$W$10+$X$10+$AG$28)*$AD$36,0)</f>
        <v>8</v>
      </c>
      <c r="AK10" s="402">
        <f>ROUND(($V10+$W$10+$X$10+$AG$29)*$AD$36,0)</f>
        <v>8</v>
      </c>
    </row>
    <row r="11" spans="2:37" ht="24.75" customHeight="1">
      <c r="B11" s="48">
        <v>1</v>
      </c>
      <c r="C11" s="303">
        <f>+Y10+AC10+AF10+AI10</f>
        <v>2389</v>
      </c>
      <c r="D11" s="303">
        <f>+Y10+AA10+AD10+AG10+AJ10</f>
        <v>2516</v>
      </c>
      <c r="E11" s="303">
        <f>+Y10+AB10+AE10+AH10+AK10</f>
        <v>2579</v>
      </c>
      <c r="F11" s="564">
        <v>500</v>
      </c>
      <c r="G11" s="564">
        <v>100</v>
      </c>
      <c r="H11" s="404">
        <f>SUM($C11,,$F$11:$G$15)</f>
        <v>2989</v>
      </c>
      <c r="I11" s="413">
        <f>SUM($D11,,$F$11:$G$15)</f>
        <v>3116</v>
      </c>
      <c r="J11" s="414">
        <f>SUM($E11,,$F$11:$G$15)</f>
        <v>3179</v>
      </c>
      <c r="K11" s="54"/>
      <c r="U11" s="155">
        <v>2</v>
      </c>
      <c r="V11" s="291">
        <v>844</v>
      </c>
      <c r="W11" s="918"/>
      <c r="X11" s="918"/>
      <c r="Y11" s="848">
        <f>ROUNDUP(($U21+$V$20+$W$20)*$AD$38*$AD$41,0)</f>
        <v>2746</v>
      </c>
      <c r="Z11" s="849"/>
      <c r="AA11" s="846"/>
      <c r="AB11" s="846"/>
      <c r="AC11" s="388">
        <f>ROUND(($V$11+$W$10+$X$10)*$AG$32,0)</f>
        <v>42</v>
      </c>
      <c r="AD11" s="394">
        <f>ROUND(($V11+$W$10+$X$10+$AG$28)*$AG$32,0)</f>
        <v>44</v>
      </c>
      <c r="AE11" s="399">
        <f>ROUND(($V11+$W$10+$X$10+$AG$29)*$AG$32,0)</f>
        <v>44</v>
      </c>
      <c r="AF11" s="388">
        <f>ROUND(($V11+$W$10+$X$10)*$AG$34,0)</f>
        <v>18</v>
      </c>
      <c r="AG11" s="394">
        <f>ROUND(($V11+$W$10+$X$10+$AG$28)*$AG$34,0)</f>
        <v>19</v>
      </c>
      <c r="AH11" s="399">
        <f>ROUND(($V11+$W$10+$X$10+$AG$29)*$AG$34,0)</f>
        <v>19</v>
      </c>
      <c r="AI11" s="388">
        <f>ROUND(($V11+$W$10+$X$10)*$AD$36,0)</f>
        <v>9</v>
      </c>
      <c r="AJ11" s="394">
        <f>ROUND(($V11+$W$10+$X$10+$AG$28)*$AD$36,0)</f>
        <v>9</v>
      </c>
      <c r="AK11" s="399">
        <f>ROUND(($V11+$W$10+$X$10+$AG$29)*$AD$36,0)</f>
        <v>9</v>
      </c>
    </row>
    <row r="12" spans="2:37" ht="24.75" customHeight="1">
      <c r="B12" s="48">
        <v>2</v>
      </c>
      <c r="C12" s="304">
        <f>+Y11+AC11+AF11+AI11</f>
        <v>2815</v>
      </c>
      <c r="D12" s="304">
        <f>+Y11+AA11+AD11+AG11+AJ11</f>
        <v>2818</v>
      </c>
      <c r="E12" s="380">
        <f>+Y11+AB11+AE11+AH11+AK11</f>
        <v>2818</v>
      </c>
      <c r="F12" s="480"/>
      <c r="G12" s="838"/>
      <c r="H12" s="404">
        <f>SUM($C12,,$F$11:$G$15)</f>
        <v>3415</v>
      </c>
      <c r="I12" s="413">
        <f>SUM($D12,,$F$11:$G$15)</f>
        <v>3418</v>
      </c>
      <c r="J12" s="414">
        <f>SUM($E12,,$F$11:$G$15)</f>
        <v>3418</v>
      </c>
      <c r="K12" s="54"/>
      <c r="U12" s="155">
        <v>3</v>
      </c>
      <c r="V12" s="291">
        <v>974</v>
      </c>
      <c r="W12" s="918"/>
      <c r="X12" s="918"/>
      <c r="Y12" s="848">
        <f>ROUNDUP(($U22+$V$20+$W$20)*$AD$38*$AD$41,0)</f>
        <v>3149</v>
      </c>
      <c r="Z12" s="849"/>
      <c r="AA12" s="846"/>
      <c r="AB12" s="846"/>
      <c r="AC12" s="388">
        <f>ROUND(($V$12+$W$10+$X$10)*$AG$32,0)</f>
        <v>48</v>
      </c>
      <c r="AD12" s="394">
        <f>ROUND(($V12+$W$10+$X$10+$AG$28)*$AG$32,0)</f>
        <v>50</v>
      </c>
      <c r="AE12" s="399">
        <f>ROUND(($V12+$W$10+$X$10+$AG$29)*$AG$32,0)</f>
        <v>51</v>
      </c>
      <c r="AF12" s="388">
        <f>ROUND(($V12+$W$10+$X$10)*$AG$34,0)</f>
        <v>20</v>
      </c>
      <c r="AG12" s="394">
        <f>ROUND(($V12+$W$10+$X$10+$AG$28)*$AG$34,0)</f>
        <v>21</v>
      </c>
      <c r="AH12" s="399">
        <f>ROUND(($V12+$W$10+$X$10+$AG$29)*$AG$34,0)</f>
        <v>22</v>
      </c>
      <c r="AI12" s="388">
        <f>ROUND(($V12+$W$10+$X$10)*$AD$36,0)</f>
        <v>10</v>
      </c>
      <c r="AJ12" s="394">
        <f>ROUND(($V12+$W$10+$X$10+$AG$28)*$AD$36,0)</f>
        <v>11</v>
      </c>
      <c r="AK12" s="399">
        <f>ROUND(($V12+$W$10+$X$10+$AG$29)*$AD$36,0)</f>
        <v>11</v>
      </c>
    </row>
    <row r="13" spans="2:37" ht="24.75" customHeight="1">
      <c r="B13" s="48">
        <v>3</v>
      </c>
      <c r="C13" s="304">
        <f>+Y12+AC12+AF12+AI12</f>
        <v>3227</v>
      </c>
      <c r="D13" s="304">
        <f>+Y12+AA12+AD12+AG12+AJ12</f>
        <v>3231</v>
      </c>
      <c r="E13" s="380">
        <f>+Y12+AB12+AE12+AH12+AK12</f>
        <v>3233</v>
      </c>
      <c r="F13" s="480"/>
      <c r="G13" s="838"/>
      <c r="H13" s="404">
        <f>SUM($C13,,$F$11:$G$15)</f>
        <v>3827</v>
      </c>
      <c r="I13" s="413">
        <f>SUM($D13,,$F$11:$G$15)</f>
        <v>3831</v>
      </c>
      <c r="J13" s="414">
        <f>SUM($E13,,$F$11:$G$15)</f>
        <v>3833</v>
      </c>
      <c r="K13" s="54"/>
      <c r="U13" s="155">
        <v>4</v>
      </c>
      <c r="V13" s="291">
        <v>1129</v>
      </c>
      <c r="W13" s="918"/>
      <c r="X13" s="918"/>
      <c r="Y13" s="848">
        <f>ROUNDUP(($U23+$V$20+$W$20)*$AD$38*$AD$41,0)</f>
        <v>3629</v>
      </c>
      <c r="Z13" s="849"/>
      <c r="AA13" s="846"/>
      <c r="AB13" s="846"/>
      <c r="AC13" s="388">
        <f>ROUND(($V$13+$W$10+$X$10)*$AG$32,0)</f>
        <v>55</v>
      </c>
      <c r="AD13" s="394">
        <f>ROUND(($V13+$W$10+$X$10+$AG$28)*$AG$32,0)</f>
        <v>57</v>
      </c>
      <c r="AE13" s="399">
        <f>ROUND(($V13+$W$10+$X$10+$AG$29)*$AG$32,0)</f>
        <v>58</v>
      </c>
      <c r="AF13" s="388">
        <f>ROUND(($V13+$W$10+$X$10)*$AG$34,0)</f>
        <v>23</v>
      </c>
      <c r="AG13" s="394">
        <f>ROUND(($V13+$W$10+$X$10+$AG$28)*$AG$34,0)</f>
        <v>24</v>
      </c>
      <c r="AH13" s="399">
        <f>ROUND(($V13+$W$10+$X$10+$AG$29)*$AG$34,0)</f>
        <v>25</v>
      </c>
      <c r="AI13" s="388">
        <f>ROUND(($V13+$W$10+$X$10)*$AD$36,0)</f>
        <v>12</v>
      </c>
      <c r="AJ13" s="394">
        <f>ROUND(($V13+$W$10+$X$10+$AG$28)*$AD$36,0)</f>
        <v>12</v>
      </c>
      <c r="AK13" s="399">
        <f>ROUND(($V13+$W$10+$X$10+$AG$29)*$AD$36,0)</f>
        <v>12</v>
      </c>
    </row>
    <row r="14" spans="2:37" ht="24.75" customHeight="1" thickBot="1">
      <c r="B14" s="48">
        <v>4</v>
      </c>
      <c r="C14" s="304">
        <f>+Y13+AC13+AF13+AI13</f>
        <v>3719</v>
      </c>
      <c r="D14" s="304">
        <f>+Y13+AA13+AD13+AG13+AJ13</f>
        <v>3722</v>
      </c>
      <c r="E14" s="380">
        <f>+Y13+AB13+AE13+AH13+AK13</f>
        <v>3724</v>
      </c>
      <c r="F14" s="480"/>
      <c r="G14" s="838"/>
      <c r="H14" s="404">
        <f>SUM($C14,,$F$11:$G$15)</f>
        <v>4319</v>
      </c>
      <c r="I14" s="413">
        <f>SUM($D14,,$F$11:$G$15)</f>
        <v>4322</v>
      </c>
      <c r="J14" s="414">
        <f>SUM($E14,,$F$11:$G$15)</f>
        <v>4324</v>
      </c>
      <c r="K14" s="54"/>
      <c r="U14" s="156">
        <v>5</v>
      </c>
      <c r="V14" s="292">
        <v>1281</v>
      </c>
      <c r="W14" s="919"/>
      <c r="X14" s="919"/>
      <c r="Y14" s="850">
        <f>ROUNDUP(($U24+$V$20+$W$20)*$AD$38*$AD$41,0)</f>
        <v>4100</v>
      </c>
      <c r="Z14" s="851"/>
      <c r="AA14" s="847"/>
      <c r="AB14" s="847"/>
      <c r="AC14" s="389">
        <f>ROUND(($V$14+$W$10+$X$10)*$AG$32,0)</f>
        <v>62</v>
      </c>
      <c r="AD14" s="395">
        <f>ROUND(($V14+$W$10+$X$10+$AG$28)*$AG$32,0)</f>
        <v>64</v>
      </c>
      <c r="AE14" s="400">
        <f>ROUND(($V14+$W$10+$X$10+$AG$29)*$AG$32,0)</f>
        <v>65</v>
      </c>
      <c r="AF14" s="389">
        <f>ROUND(($V14+$W$10+$X$10)*$AG$34,0)</f>
        <v>26</v>
      </c>
      <c r="AG14" s="395">
        <f>ROUND(($V14+$W$10+$X$10+$AG$28)*$AG$34,0)</f>
        <v>27</v>
      </c>
      <c r="AH14" s="400">
        <f>ROUND(($V14+$W$10+$X$10+$AG$29)*$AG$34,0)</f>
        <v>28</v>
      </c>
      <c r="AI14" s="389">
        <f>ROUND(($V14+$W$10+$X$10)*$AD$36,0)</f>
        <v>13</v>
      </c>
      <c r="AJ14" s="395">
        <f>ROUND(($V14+$W$10+$X$10+$AG$28)*$AD$36,0)</f>
        <v>14</v>
      </c>
      <c r="AK14" s="400">
        <f>ROUND(($V14+$W$10+$X$10+$AG$29)*$AD$36,0)</f>
        <v>14</v>
      </c>
    </row>
    <row r="15" spans="2:30" ht="24.75" customHeight="1" thickBot="1">
      <c r="B15" s="49">
        <v>5</v>
      </c>
      <c r="C15" s="305">
        <f>+Y14+AC14+AF14+AI14</f>
        <v>4201</v>
      </c>
      <c r="D15" s="305">
        <f>+Y14+AA14+AD14+AG14+AJ14</f>
        <v>4205</v>
      </c>
      <c r="E15" s="381">
        <f>+Y14+AB14+AE14+AH14+AK14</f>
        <v>4207</v>
      </c>
      <c r="F15" s="505"/>
      <c r="G15" s="839"/>
      <c r="H15" s="406">
        <f>SUM($C15,,$F$11:$G$15)</f>
        <v>4801</v>
      </c>
      <c r="I15" s="415">
        <f>SUM($D15,,$F$11:$G$15)</f>
        <v>4805</v>
      </c>
      <c r="J15" s="416">
        <f>SUM($E15,,$F$11:$G$15)</f>
        <v>4807</v>
      </c>
      <c r="K15" s="54"/>
      <c r="AD15" s="314"/>
    </row>
    <row r="16" spans="11:34" ht="18" customHeight="1" thickBot="1">
      <c r="K16" s="8"/>
      <c r="L16" s="8"/>
      <c r="M16" s="8"/>
      <c r="Y16" s="339"/>
      <c r="Z16" s="853" t="s">
        <v>187</v>
      </c>
      <c r="AA16" s="854"/>
      <c r="AB16" s="854"/>
      <c r="AC16" s="854"/>
      <c r="AD16" s="854"/>
      <c r="AE16" s="854"/>
      <c r="AF16" s="854"/>
      <c r="AG16" s="920"/>
      <c r="AH16" s="102"/>
    </row>
    <row r="17" spans="2:30" ht="18" customHeight="1" thickBot="1">
      <c r="B17" s="124"/>
      <c r="C17" s="820" t="s">
        <v>501</v>
      </c>
      <c r="D17" s="821"/>
      <c r="E17" s="821"/>
      <c r="F17" s="818" t="s">
        <v>71</v>
      </c>
      <c r="G17" s="819"/>
      <c r="H17" s="935" t="s">
        <v>491</v>
      </c>
      <c r="I17" s="460" t="s">
        <v>492</v>
      </c>
      <c r="J17" s="643" t="s">
        <v>493</v>
      </c>
      <c r="K17" s="313"/>
      <c r="L17" s="313"/>
      <c r="M17" s="313"/>
      <c r="N17" s="313"/>
      <c r="O17" s="313"/>
      <c r="P17" s="313"/>
      <c r="Q17" s="313"/>
      <c r="T17" s="307"/>
      <c r="U17" s="217"/>
      <c r="V17" s="217"/>
      <c r="W17" s="217"/>
      <c r="X17" s="217"/>
      <c r="Y17" s="217"/>
      <c r="Z17" s="217"/>
      <c r="AA17" s="217"/>
      <c r="AB17" s="102"/>
      <c r="AC17" s="335"/>
      <c r="AD17" s="102"/>
    </row>
    <row r="18" spans="2:36" ht="36.75" customHeight="1">
      <c r="B18" s="829" t="s">
        <v>6</v>
      </c>
      <c r="C18" s="663" t="s">
        <v>499</v>
      </c>
      <c r="D18" s="663" t="s">
        <v>495</v>
      </c>
      <c r="E18" s="663" t="s">
        <v>496</v>
      </c>
      <c r="F18" s="457" t="s">
        <v>48</v>
      </c>
      <c r="G18" s="458" t="s">
        <v>11</v>
      </c>
      <c r="H18" s="936"/>
      <c r="I18" s="461"/>
      <c r="J18" s="644"/>
      <c r="K18" s="313"/>
      <c r="L18" s="313"/>
      <c r="M18" s="313"/>
      <c r="N18" s="313"/>
      <c r="O18" s="313"/>
      <c r="P18" s="313"/>
      <c r="Q18" s="313"/>
      <c r="T18" s="921" t="s">
        <v>6</v>
      </c>
      <c r="U18" s="533" t="s">
        <v>125</v>
      </c>
      <c r="V18" s="461" t="s">
        <v>140</v>
      </c>
      <c r="W18" s="626" t="s">
        <v>120</v>
      </c>
      <c r="X18" s="533" t="s">
        <v>96</v>
      </c>
      <c r="Y18" s="538"/>
      <c r="Z18" s="461" t="s">
        <v>425</v>
      </c>
      <c r="AA18" s="461" t="s">
        <v>426</v>
      </c>
      <c r="AB18" s="833" t="s">
        <v>332</v>
      </c>
      <c r="AC18" s="834"/>
      <c r="AD18" s="835"/>
      <c r="AE18" s="833" t="s">
        <v>328</v>
      </c>
      <c r="AF18" s="834"/>
      <c r="AG18" s="835"/>
      <c r="AH18" s="833" t="s">
        <v>482</v>
      </c>
      <c r="AI18" s="834"/>
      <c r="AJ18" s="835"/>
    </row>
    <row r="19" spans="2:36" ht="21" customHeight="1" thickBot="1">
      <c r="B19" s="830"/>
      <c r="C19" s="669"/>
      <c r="D19" s="669"/>
      <c r="E19" s="669"/>
      <c r="F19" s="459"/>
      <c r="G19" s="459"/>
      <c r="H19" s="937"/>
      <c r="I19" s="462"/>
      <c r="J19" s="645"/>
      <c r="K19" s="313"/>
      <c r="L19" s="313"/>
      <c r="M19" s="313"/>
      <c r="N19" s="313"/>
      <c r="O19" s="313"/>
      <c r="P19" s="313"/>
      <c r="Q19" s="313"/>
      <c r="T19" s="830"/>
      <c r="U19" s="533"/>
      <c r="V19" s="462"/>
      <c r="W19" s="626"/>
      <c r="X19" s="533" t="s">
        <v>333</v>
      </c>
      <c r="Y19" s="538"/>
      <c r="Z19" s="462"/>
      <c r="AA19" s="462"/>
      <c r="AB19" s="86" t="s">
        <v>78</v>
      </c>
      <c r="AC19" s="86" t="s">
        <v>429</v>
      </c>
      <c r="AD19" s="86" t="s">
        <v>430</v>
      </c>
      <c r="AE19" s="86" t="s">
        <v>78</v>
      </c>
      <c r="AF19" s="86" t="s">
        <v>429</v>
      </c>
      <c r="AG19" s="86" t="s">
        <v>430</v>
      </c>
      <c r="AH19" s="86" t="s">
        <v>78</v>
      </c>
      <c r="AI19" s="334" t="s">
        <v>427</v>
      </c>
      <c r="AJ19" s="86" t="s">
        <v>430</v>
      </c>
    </row>
    <row r="20" spans="2:36" ht="21.75" customHeight="1">
      <c r="B20" s="48">
        <v>1</v>
      </c>
      <c r="C20" s="303">
        <f>+X20+AB20+AE20+AH20</f>
        <v>1612</v>
      </c>
      <c r="D20" s="303">
        <f>+X20+$Z$20+AC20+AF20+AI20</f>
        <v>1698</v>
      </c>
      <c r="E20" s="303">
        <f>+X20+$AA$20+AD20+AG20+AJ20</f>
        <v>1740</v>
      </c>
      <c r="F20" s="564">
        <v>500</v>
      </c>
      <c r="G20" s="564">
        <v>100</v>
      </c>
      <c r="H20" s="404">
        <f>SUM($C20,$F$20:$G$24)</f>
        <v>2212</v>
      </c>
      <c r="I20" s="413">
        <f>SUM($D20,,$F$20:$G$24)</f>
        <v>2298</v>
      </c>
      <c r="J20" s="414">
        <f>SUM($E20,$F$20:$G$24)</f>
        <v>2340</v>
      </c>
      <c r="K20" s="54"/>
      <c r="L20" s="54"/>
      <c r="M20" s="54"/>
      <c r="N20" s="54"/>
      <c r="O20" s="54"/>
      <c r="P20" s="54"/>
      <c r="Q20" s="54"/>
      <c r="T20" s="154">
        <v>1</v>
      </c>
      <c r="U20" s="290">
        <v>710</v>
      </c>
      <c r="V20" s="917">
        <v>20</v>
      </c>
      <c r="W20" s="917">
        <v>22</v>
      </c>
      <c r="X20" s="840">
        <f>ROUNDUP(($U$20+$V$20+$W$20)*$AD$38*$AD$40,0)</f>
        <v>1554</v>
      </c>
      <c r="Y20" s="841"/>
      <c r="Z20" s="845">
        <f>ROUNDUP($AG$28*$AD$38*$AD$40,0)</f>
        <v>83</v>
      </c>
      <c r="AA20" s="845">
        <f>ROUNDUP($AG$29*$AD$38*$AD$40,0)</f>
        <v>124</v>
      </c>
      <c r="AB20" s="80">
        <f>ROUND(($U$20+$V$20+$W$20)*$AG$32,0)</f>
        <v>35</v>
      </c>
      <c r="AC20" s="134">
        <f>ROUND(($U20+$V$20+$W$20+$AG$28)*$AG$32,0)</f>
        <v>37</v>
      </c>
      <c r="AD20" s="134">
        <f>ROUND(($U20+$V$20+$W$20+$AG$29)*$AG$32,0)</f>
        <v>38</v>
      </c>
      <c r="AE20" s="80">
        <f>ROUND(($U20+$V$20+$W$20)*$AG$34,0)</f>
        <v>15</v>
      </c>
      <c r="AF20" s="134">
        <f>ROUND(($U20+$V$20+$W$20+$AG$28)*$AG$34,0)</f>
        <v>16</v>
      </c>
      <c r="AG20" s="134">
        <f>ROUND(($U20+$V$20+$W$20+$AG$29)*$AG$34,0)</f>
        <v>16</v>
      </c>
      <c r="AH20" s="80">
        <f>ROUND(($U20+$V$20+$W$20)*$AD$36,0)</f>
        <v>8</v>
      </c>
      <c r="AI20" s="134">
        <f>ROUND(($U20+$V$20+$W$20+$AG$28)*$AD$36,0)</f>
        <v>8</v>
      </c>
      <c r="AJ20" s="134">
        <f>ROUND(($U20+$V$20+$W$20+$AG$29)*$AD$36,0)</f>
        <v>8</v>
      </c>
    </row>
    <row r="21" spans="2:36" ht="21.75" customHeight="1">
      <c r="B21" s="48">
        <v>2</v>
      </c>
      <c r="C21" s="304">
        <f>+X21+AB21+AE21+AH21</f>
        <v>1900</v>
      </c>
      <c r="D21" s="304">
        <f>+X21+$Z$20+AC21+AF21+AI21</f>
        <v>1986</v>
      </c>
      <c r="E21" s="380">
        <f>+X21+$AA$20+AD21+AG21+AJ21</f>
        <v>2027</v>
      </c>
      <c r="F21" s="480"/>
      <c r="G21" s="838"/>
      <c r="H21" s="404">
        <f>SUM($C21,$F$20:$G$24)</f>
        <v>2500</v>
      </c>
      <c r="I21" s="413">
        <f>SUM($D21,,$F$20:$G$24)</f>
        <v>2586</v>
      </c>
      <c r="J21" s="414">
        <f>SUM($E21,$F$20:$G$24)</f>
        <v>2627</v>
      </c>
      <c r="K21" s="54"/>
      <c r="L21" s="54"/>
      <c r="M21" s="54"/>
      <c r="N21" s="54"/>
      <c r="O21" s="54"/>
      <c r="P21" s="54"/>
      <c r="Q21" s="54"/>
      <c r="T21" s="155">
        <v>2</v>
      </c>
      <c r="U21" s="291">
        <v>844</v>
      </c>
      <c r="V21" s="918"/>
      <c r="W21" s="918"/>
      <c r="X21" s="848">
        <f>ROUNDUP(($U$21+$V$20+$W$20)*$AD$38*$AD$40,0)</f>
        <v>1831</v>
      </c>
      <c r="Y21" s="849"/>
      <c r="Z21" s="846"/>
      <c r="AA21" s="846"/>
      <c r="AB21" s="85">
        <f>ROUND(($U$21+$V$20+$W$20)*$AG$32,0)</f>
        <v>42</v>
      </c>
      <c r="AC21" s="85">
        <f>ROUND(($U21+$V$20+$W$20+$AG$28)*$AG$32,0)</f>
        <v>44</v>
      </c>
      <c r="AD21" s="85">
        <f>ROUND(($U21+$V$20+$W$20+$AG$29)*$AG$32,0)</f>
        <v>44</v>
      </c>
      <c r="AE21" s="85">
        <f>ROUND(($U21+$V$20+$W$20)*$AG$34,0)</f>
        <v>18</v>
      </c>
      <c r="AF21" s="85">
        <f>ROUND(($U21+$V$20+$W$20+$AG$28)*$AG$34,0)</f>
        <v>19</v>
      </c>
      <c r="AG21" s="85">
        <f>ROUND(($U21+$V$20+$W$20+$AG$29)*$AG$34,0)</f>
        <v>19</v>
      </c>
      <c r="AH21" s="338">
        <f>ROUND(($U21+$V$20+$W$20)*$AD$36,0)</f>
        <v>9</v>
      </c>
      <c r="AI21" s="85">
        <f>ROUND(($U21+$V$20+$W$20+$AG$28)*$AD$36,0)</f>
        <v>9</v>
      </c>
      <c r="AJ21" s="85">
        <f>ROUND(($U21+$V$20+$W$20+$AG$29)*$AD$36,0)</f>
        <v>9</v>
      </c>
    </row>
    <row r="22" spans="2:36" ht="21.75" customHeight="1">
      <c r="B22" s="48">
        <v>3</v>
      </c>
      <c r="C22" s="304">
        <f>+X22+AB22+AE22+AH22</f>
        <v>2178</v>
      </c>
      <c r="D22" s="304">
        <f>+X22+$Z$20+AC22+AF22+AI22</f>
        <v>2265</v>
      </c>
      <c r="E22" s="380">
        <f>+X22+$AA$20+AD22+AG22+AJ22</f>
        <v>2308</v>
      </c>
      <c r="F22" s="480"/>
      <c r="G22" s="838"/>
      <c r="H22" s="404">
        <f>SUM($C22,$F$20:$G$24)</f>
        <v>2778</v>
      </c>
      <c r="I22" s="413">
        <f>SUM($D22,,$F$20:$G$24)</f>
        <v>2865</v>
      </c>
      <c r="J22" s="414">
        <f>SUM($E22,$F$20:$G$24)</f>
        <v>2908</v>
      </c>
      <c r="K22" s="54"/>
      <c r="L22" s="54"/>
      <c r="M22" s="54"/>
      <c r="N22" s="54"/>
      <c r="O22" s="54"/>
      <c r="P22" s="54"/>
      <c r="Q22" s="54"/>
      <c r="T22" s="155">
        <v>3</v>
      </c>
      <c r="U22" s="291">
        <v>974</v>
      </c>
      <c r="V22" s="918"/>
      <c r="W22" s="918"/>
      <c r="X22" s="848">
        <f>ROUNDUP(($U$22+$V$20+$W$20)*$AD$38*$AD$40,0)</f>
        <v>2100</v>
      </c>
      <c r="Y22" s="849"/>
      <c r="Z22" s="846"/>
      <c r="AA22" s="846"/>
      <c r="AB22" s="85">
        <f>ROUND(($U$22+$V$20+$W$20)*$AG$32,0)</f>
        <v>48</v>
      </c>
      <c r="AC22" s="85">
        <f>ROUND(($U22+$V$20+$W$20+$AG$28)*$AG$32,0)</f>
        <v>50</v>
      </c>
      <c r="AD22" s="85">
        <f>ROUND(($U22+$V$20+$W$20+$AG$29)*$AG$32,0)</f>
        <v>51</v>
      </c>
      <c r="AE22" s="85">
        <f>ROUND(($U22+$V$20+$W$20)*$AG$34,0)</f>
        <v>20</v>
      </c>
      <c r="AF22" s="85">
        <f>ROUND(($U22+$V$20+$W$20+$AG$28)*$AG$34,0)</f>
        <v>21</v>
      </c>
      <c r="AG22" s="85">
        <f>ROUND(($U22+$V$20+$W$20+$AG$29)*$AG$34,0)</f>
        <v>22</v>
      </c>
      <c r="AH22" s="338">
        <f>ROUND(($U22+$V$20+$W$20)*$AD$36,0)</f>
        <v>10</v>
      </c>
      <c r="AI22" s="85">
        <f>ROUND(($U22+$V$20+$W$20+$AG$28)*$AD$36,0)</f>
        <v>11</v>
      </c>
      <c r="AJ22" s="85">
        <f>ROUND(($U22+$V$20+$W$20+$AG$29)*$AD$36,0)</f>
        <v>11</v>
      </c>
    </row>
    <row r="23" spans="2:36" ht="21.75" customHeight="1">
      <c r="B23" s="48">
        <v>4</v>
      </c>
      <c r="C23" s="304">
        <f>+X23+AB23+AE23+AH23</f>
        <v>2510</v>
      </c>
      <c r="D23" s="304">
        <f>+X23+$Z$20+AC23+AF23+AI23</f>
        <v>2596</v>
      </c>
      <c r="E23" s="380">
        <f>+X23+$AA$20+AD23+AG23+AJ23</f>
        <v>2639</v>
      </c>
      <c r="F23" s="480"/>
      <c r="G23" s="838"/>
      <c r="H23" s="404">
        <f>SUM($C23,$F$20:$G$24)</f>
        <v>3110</v>
      </c>
      <c r="I23" s="413">
        <f>SUM($D23,,$F$20:$G$24)</f>
        <v>3196</v>
      </c>
      <c r="J23" s="414">
        <f>SUM($E23,$F$20:$G$24)</f>
        <v>3239</v>
      </c>
      <c r="K23" s="54"/>
      <c r="L23" s="54"/>
      <c r="M23" s="54"/>
      <c r="N23" s="54"/>
      <c r="O23" s="54"/>
      <c r="P23" s="54"/>
      <c r="Q23" s="54"/>
      <c r="T23" s="155">
        <v>4</v>
      </c>
      <c r="U23" s="291">
        <v>1129</v>
      </c>
      <c r="V23" s="918"/>
      <c r="W23" s="918"/>
      <c r="X23" s="848">
        <f>ROUNDUP(($U$23+$V$20+$W$20)*$AD$38*$AD$40,0)</f>
        <v>2420</v>
      </c>
      <c r="Y23" s="849"/>
      <c r="Z23" s="846"/>
      <c r="AA23" s="846"/>
      <c r="AB23" s="85">
        <f>ROUND(($U$23+$V$20+$W$20)*$AG$32,0)</f>
        <v>55</v>
      </c>
      <c r="AC23" s="85">
        <f>ROUND(($U23+$V$20+$W$20+$AG$28)*$AG$32,0)</f>
        <v>57</v>
      </c>
      <c r="AD23" s="85">
        <f>ROUND(($U23+$V$20+$W$20+$AG$29)*$AG$32,0)</f>
        <v>58</v>
      </c>
      <c r="AE23" s="85">
        <f>ROUND(($U23+$V$20+$W$20)*$AG$34,0)</f>
        <v>23</v>
      </c>
      <c r="AF23" s="85">
        <f>ROUND(($U23+$V$20+$W$20+$AG$28)*$AG$34,0)</f>
        <v>24</v>
      </c>
      <c r="AG23" s="85">
        <f>ROUND(($U23+$V$20+$W$20+$AG$29)*$AG$34,0)</f>
        <v>25</v>
      </c>
      <c r="AH23" s="338">
        <f>ROUND(($U23+$V$20+$W$20)*$AD$36,0)</f>
        <v>12</v>
      </c>
      <c r="AI23" s="85">
        <f>ROUND(($U23+$V$20+$W$20+$AG$28)*$AD$36,0)</f>
        <v>12</v>
      </c>
      <c r="AJ23" s="85">
        <f>ROUND(($U23+$V$20+$W$20+$AG$29)*$AD$36,0)</f>
        <v>12</v>
      </c>
    </row>
    <row r="24" spans="2:36" ht="21.75" customHeight="1" thickBot="1">
      <c r="B24" s="49">
        <v>5</v>
      </c>
      <c r="C24" s="305">
        <f>+X24+AB24+AE24+AH24</f>
        <v>2835</v>
      </c>
      <c r="D24" s="305">
        <f>+X24+$Z$20+AC24+AF24+AI24</f>
        <v>2922</v>
      </c>
      <c r="E24" s="381">
        <f>+X24+$AA$20+AD24+AG24+AJ24</f>
        <v>2965</v>
      </c>
      <c r="F24" s="505"/>
      <c r="G24" s="839"/>
      <c r="H24" s="406">
        <f>SUM($C24,$F$20:$G$24)</f>
        <v>3435</v>
      </c>
      <c r="I24" s="415">
        <f>SUM($D24,,$F$20:$G$24)</f>
        <v>3522</v>
      </c>
      <c r="J24" s="416">
        <f>SUM($E24,$F$20:$G$24)</f>
        <v>3565</v>
      </c>
      <c r="K24" s="54"/>
      <c r="L24" s="54"/>
      <c r="M24" s="54"/>
      <c r="N24" s="54"/>
      <c r="O24" s="54"/>
      <c r="P24" s="54"/>
      <c r="Q24" s="54"/>
      <c r="T24" s="156">
        <v>5</v>
      </c>
      <c r="U24" s="292">
        <v>1281</v>
      </c>
      <c r="V24" s="919"/>
      <c r="W24" s="919"/>
      <c r="X24" s="850">
        <f>ROUNDUP(($U$24+$V$20+$W$20)*$AD$38*$AD$40,0)</f>
        <v>2734</v>
      </c>
      <c r="Y24" s="851"/>
      <c r="Z24" s="847"/>
      <c r="AA24" s="847"/>
      <c r="AB24" s="84">
        <f>ROUND(($U$24+$V$20+$W$20)*$AG$32,0)</f>
        <v>62</v>
      </c>
      <c r="AC24" s="84">
        <f>ROUND(($U24+$V$20+$W$20+$AG$28)*$AG$32,0)</f>
        <v>64</v>
      </c>
      <c r="AD24" s="84">
        <f>ROUND(($U24+$V$20+$W$20+$AG$29)*$AG$32,0)</f>
        <v>65</v>
      </c>
      <c r="AE24" s="84">
        <f>ROUND(($U24+$V$20+$W$20)*$AG$34,0)</f>
        <v>26</v>
      </c>
      <c r="AF24" s="84">
        <f>ROUND(($U24+$V$20+$W$20+$AG$28)*$AG$34,0)</f>
        <v>27</v>
      </c>
      <c r="AG24" s="84">
        <f>ROUND(($U24+$V$20+$W$20+$AG$29)*$AG$34,0)</f>
        <v>28</v>
      </c>
      <c r="AH24" s="336">
        <f>ROUND(($U24+$V$20+$W$20)*$AD$36,0)</f>
        <v>13</v>
      </c>
      <c r="AI24" s="337">
        <f>ROUND(($U24+$V$20+$W$20+$AG$28)*$AD$36,0)</f>
        <v>14</v>
      </c>
      <c r="AJ24" s="337">
        <f>ROUND(($U24+$V$20+$W$20+$AG$29)*$AD$36,0)</f>
        <v>14</v>
      </c>
    </row>
    <row r="25" spans="2:23" ht="15" customHeight="1">
      <c r="B25" s="50"/>
      <c r="C25" s="51"/>
      <c r="D25" s="51"/>
      <c r="E25" s="51"/>
      <c r="F25" s="51"/>
      <c r="G25" s="52"/>
      <c r="H25" s="52"/>
      <c r="I25" s="52"/>
      <c r="J25" s="52"/>
      <c r="K25" s="52"/>
      <c r="L25" s="52"/>
      <c r="M25" s="52"/>
      <c r="N25" s="53"/>
      <c r="O25" s="54"/>
      <c r="V25" s="42"/>
      <c r="W25" s="42"/>
    </row>
    <row r="26" spans="2:23" ht="22.5" customHeight="1">
      <c r="B26" s="42" t="s">
        <v>489</v>
      </c>
      <c r="C26" s="183"/>
      <c r="D26" s="183"/>
      <c r="E26" s="183"/>
      <c r="F26" s="183"/>
      <c r="G26" s="183"/>
      <c r="H26" s="183"/>
      <c r="I26" s="183"/>
      <c r="J26" s="183"/>
      <c r="K26" s="52"/>
      <c r="L26" s="52"/>
      <c r="M26" s="52"/>
      <c r="N26" s="53"/>
      <c r="O26" s="54"/>
      <c r="V26" s="42"/>
      <c r="W26" s="42"/>
    </row>
    <row r="27" spans="2:15" ht="21" customHeight="1" thickBot="1">
      <c r="B27" s="42" t="s">
        <v>502</v>
      </c>
      <c r="C27" s="183"/>
      <c r="D27" s="183"/>
      <c r="E27" s="183"/>
      <c r="F27" s="183"/>
      <c r="G27" s="183"/>
      <c r="H27" s="183"/>
      <c r="I27" s="183"/>
      <c r="J27" s="183"/>
      <c r="K27" s="52"/>
      <c r="L27" s="52"/>
      <c r="M27" s="52"/>
      <c r="N27" s="53"/>
      <c r="O27" s="54"/>
    </row>
    <row r="28" spans="2:35" ht="22.5" customHeight="1" thickBot="1">
      <c r="B28" s="42" t="s">
        <v>159</v>
      </c>
      <c r="C28" s="42"/>
      <c r="D28" s="42"/>
      <c r="E28" s="42"/>
      <c r="F28" s="42"/>
      <c r="G28" s="42"/>
      <c r="H28" s="42"/>
      <c r="I28" s="42"/>
      <c r="J28" s="42"/>
      <c r="K28" s="52"/>
      <c r="L28" s="52"/>
      <c r="M28" s="52"/>
      <c r="N28" s="53"/>
      <c r="O28" s="54"/>
      <c r="V28" s="42"/>
      <c r="W28" s="42"/>
      <c r="AC28" s="922" t="s">
        <v>378</v>
      </c>
      <c r="AD28" s="923"/>
      <c r="AE28" s="923"/>
      <c r="AF28" s="924"/>
      <c r="AG28" s="306">
        <v>40</v>
      </c>
      <c r="AH28" s="162"/>
      <c r="AI28" s="162"/>
    </row>
    <row r="29" spans="2:35" ht="22.5" customHeight="1" thickBot="1">
      <c r="B29" s="184" t="s">
        <v>141</v>
      </c>
      <c r="C29" s="184"/>
      <c r="D29" s="184"/>
      <c r="E29" s="184"/>
      <c r="F29" s="184"/>
      <c r="G29" s="184"/>
      <c r="H29" s="184"/>
      <c r="I29" s="184"/>
      <c r="J29" s="184"/>
      <c r="K29" s="275"/>
      <c r="L29" s="276"/>
      <c r="M29" s="52"/>
      <c r="N29" s="53"/>
      <c r="O29" s="54"/>
      <c r="V29" s="42"/>
      <c r="W29" s="42"/>
      <c r="AC29" s="853" t="s">
        <v>406</v>
      </c>
      <c r="AD29" s="854"/>
      <c r="AE29" s="854"/>
      <c r="AF29" s="855"/>
      <c r="AG29" s="312">
        <v>60</v>
      </c>
      <c r="AH29" s="162"/>
      <c r="AI29" s="162"/>
    </row>
    <row r="30" spans="2:23" ht="22.5" customHeight="1">
      <c r="B30" s="184"/>
      <c r="C30" s="184"/>
      <c r="D30" s="184"/>
      <c r="E30" s="184"/>
      <c r="F30" s="184"/>
      <c r="G30" s="184"/>
      <c r="H30" s="184"/>
      <c r="I30" s="184"/>
      <c r="J30" s="184"/>
      <c r="K30" s="52"/>
      <c r="L30" s="276"/>
      <c r="M30" s="52"/>
      <c r="N30" s="53"/>
      <c r="O30" s="54"/>
      <c r="V30" s="42"/>
      <c r="W30" s="184"/>
    </row>
    <row r="31" spans="2:23" ht="15.75" customHeight="1" thickBot="1">
      <c r="B31" s="184"/>
      <c r="C31" s="184"/>
      <c r="D31" s="184"/>
      <c r="E31" s="184"/>
      <c r="F31" s="184"/>
      <c r="G31" s="184"/>
      <c r="H31" s="184"/>
      <c r="I31" s="184"/>
      <c r="J31" s="184"/>
      <c r="K31" s="52"/>
      <c r="L31" s="52"/>
      <c r="M31" s="52"/>
      <c r="N31" s="53"/>
      <c r="O31" s="54"/>
      <c r="V31" s="184"/>
      <c r="W31" s="184"/>
    </row>
    <row r="32" spans="2:35" ht="18.75" customHeight="1" thickBot="1">
      <c r="B32" s="852" t="s">
        <v>50</v>
      </c>
      <c r="C32" s="852"/>
      <c r="D32" s="852"/>
      <c r="E32" s="852"/>
      <c r="F32" s="852"/>
      <c r="G32" s="852"/>
      <c r="H32" s="385"/>
      <c r="K32" s="52"/>
      <c r="L32" s="52"/>
      <c r="M32" s="52"/>
      <c r="N32" s="53"/>
      <c r="O32" s="54"/>
      <c r="V32" s="184"/>
      <c r="W32" s="182"/>
      <c r="AC32" s="430" t="s">
        <v>115</v>
      </c>
      <c r="AD32" s="431"/>
      <c r="AE32" s="431"/>
      <c r="AF32" s="432"/>
      <c r="AG32" s="135">
        <f>47/1000</f>
        <v>0.047</v>
      </c>
      <c r="AH32" s="163"/>
      <c r="AI32" s="163"/>
    </row>
    <row r="33" spans="2:35" ht="19.5" customHeight="1" thickBot="1">
      <c r="B33" s="870" t="s">
        <v>85</v>
      </c>
      <c r="C33" s="871"/>
      <c r="D33" s="872"/>
      <c r="E33" s="950" t="s">
        <v>187</v>
      </c>
      <c r="F33" s="951"/>
      <c r="G33" s="948" t="s">
        <v>188</v>
      </c>
      <c r="H33" s="949"/>
      <c r="L33" s="52"/>
      <c r="M33" s="52"/>
      <c r="N33" s="53"/>
      <c r="O33" s="54"/>
      <c r="V33" s="184"/>
      <c r="W33" s="184"/>
      <c r="AC33" s="256"/>
      <c r="AD33" s="256"/>
      <c r="AE33" s="256"/>
      <c r="AF33" s="256"/>
      <c r="AG33" s="163"/>
      <c r="AH33" s="163"/>
      <c r="AI33" s="163"/>
    </row>
    <row r="34" spans="2:39" ht="20.25" customHeight="1" thickBot="1" thickTop="1">
      <c r="B34" s="889" t="s">
        <v>452</v>
      </c>
      <c r="C34" s="890"/>
      <c r="D34" s="945"/>
      <c r="E34" s="858">
        <v>207</v>
      </c>
      <c r="F34" s="942"/>
      <c r="G34" s="858">
        <v>310</v>
      </c>
      <c r="H34" s="860"/>
      <c r="I34" s="42" t="s">
        <v>453</v>
      </c>
      <c r="J34" s="104"/>
      <c r="L34" s="166"/>
      <c r="V34" s="184"/>
      <c r="X34" s="11"/>
      <c r="AC34" s="430" t="s">
        <v>334</v>
      </c>
      <c r="AD34" s="431"/>
      <c r="AE34" s="431"/>
      <c r="AF34" s="432"/>
      <c r="AG34" s="135">
        <v>0.02</v>
      </c>
      <c r="AH34" s="163"/>
      <c r="AI34" s="164"/>
      <c r="AM34" s="11"/>
    </row>
    <row r="35" spans="1:36" ht="20.25" customHeight="1" thickBot="1">
      <c r="A35" s="856" t="s">
        <v>72</v>
      </c>
      <c r="B35" s="893" t="s">
        <v>387</v>
      </c>
      <c r="C35" s="894"/>
      <c r="D35" s="930"/>
      <c r="E35" s="928">
        <v>-98</v>
      </c>
      <c r="F35" s="941"/>
      <c r="G35" s="928">
        <v>-146</v>
      </c>
      <c r="H35" s="929"/>
      <c r="I35" s="100" t="s">
        <v>490</v>
      </c>
      <c r="J35" s="42"/>
      <c r="K35" s="104"/>
      <c r="T35" s="11"/>
      <c r="U35" s="105"/>
      <c r="Y35" s="11"/>
      <c r="Z35" s="256"/>
      <c r="AA35" s="256"/>
      <c r="AB35" s="256"/>
      <c r="AC35" s="256"/>
      <c r="AD35" s="163"/>
      <c r="AE35" s="163"/>
      <c r="AF35" s="164"/>
      <c r="AJ35" s="11"/>
    </row>
    <row r="36" spans="1:32" ht="20.25" customHeight="1" thickBot="1">
      <c r="A36" s="857"/>
      <c r="B36" s="893" t="s">
        <v>407</v>
      </c>
      <c r="C36" s="894"/>
      <c r="D36" s="930"/>
      <c r="E36" s="842" t="s">
        <v>365</v>
      </c>
      <c r="F36" s="931"/>
      <c r="G36" s="842" t="s">
        <v>369</v>
      </c>
      <c r="H36" s="844"/>
      <c r="I36" s="100" t="s">
        <v>487</v>
      </c>
      <c r="J36" s="42"/>
      <c r="K36" s="100"/>
      <c r="L36" s="100"/>
      <c r="M36" s="104"/>
      <c r="N36" s="104"/>
      <c r="O36" s="104"/>
      <c r="P36" s="104"/>
      <c r="Q36" s="104"/>
      <c r="R36" s="104"/>
      <c r="S36" s="104"/>
      <c r="T36" s="184"/>
      <c r="U36" s="88"/>
      <c r="Z36" s="430" t="s">
        <v>475</v>
      </c>
      <c r="AA36" s="431"/>
      <c r="AB36" s="431"/>
      <c r="AC36" s="432"/>
      <c r="AD36" s="135">
        <v>0.01</v>
      </c>
      <c r="AE36" s="163"/>
      <c r="AF36" s="164"/>
    </row>
    <row r="37" spans="1:21" ht="20.25" customHeight="1" thickBot="1">
      <c r="A37" s="857"/>
      <c r="B37" s="893" t="s">
        <v>408</v>
      </c>
      <c r="C37" s="894"/>
      <c r="D37" s="930"/>
      <c r="E37" s="842" t="s">
        <v>366</v>
      </c>
      <c r="F37" s="931"/>
      <c r="G37" s="842" t="s">
        <v>370</v>
      </c>
      <c r="H37" s="844"/>
      <c r="I37" s="104" t="s">
        <v>311</v>
      </c>
      <c r="J37" s="184"/>
      <c r="K37" s="42"/>
      <c r="L37" s="42"/>
      <c r="M37" s="42"/>
      <c r="N37" s="42"/>
      <c r="O37" s="42"/>
      <c r="P37" s="42"/>
      <c r="Q37" s="42"/>
      <c r="R37" s="42"/>
      <c r="S37" s="42"/>
      <c r="T37" s="105"/>
      <c r="U37" s="76"/>
    </row>
    <row r="38" spans="1:37" ht="20.25" customHeight="1" thickBot="1">
      <c r="A38" s="857"/>
      <c r="B38" s="893" t="s">
        <v>409</v>
      </c>
      <c r="C38" s="894"/>
      <c r="D38" s="930"/>
      <c r="E38" s="842" t="s">
        <v>417</v>
      </c>
      <c r="F38" s="931"/>
      <c r="G38" s="842" t="s">
        <v>419</v>
      </c>
      <c r="H38" s="844"/>
      <c r="I38" s="100" t="s">
        <v>310</v>
      </c>
      <c r="J38" s="182"/>
      <c r="K38" s="184"/>
      <c r="L38" s="42"/>
      <c r="M38" s="42"/>
      <c r="N38" s="42"/>
      <c r="O38" s="42"/>
      <c r="P38" s="42"/>
      <c r="Q38" s="42"/>
      <c r="R38" s="42"/>
      <c r="S38" s="42"/>
      <c r="T38" s="88"/>
      <c r="U38" s="76"/>
      <c r="W38" s="11"/>
      <c r="X38" s="11"/>
      <c r="Z38" s="925" t="s">
        <v>123</v>
      </c>
      <c r="AA38" s="926"/>
      <c r="AB38" s="926"/>
      <c r="AC38" s="926"/>
      <c r="AD38" s="157">
        <v>10.33</v>
      </c>
      <c r="AE38" s="164"/>
      <c r="AF38" s="165"/>
      <c r="AK38" s="11"/>
    </row>
    <row r="39" spans="1:37" ht="20.25" customHeight="1" thickBot="1">
      <c r="A39" s="857"/>
      <c r="B39" s="893" t="s">
        <v>410</v>
      </c>
      <c r="C39" s="894"/>
      <c r="D39" s="930"/>
      <c r="E39" s="842" t="s">
        <v>418</v>
      </c>
      <c r="F39" s="931"/>
      <c r="G39" s="842" t="s">
        <v>420</v>
      </c>
      <c r="H39" s="844"/>
      <c r="I39" s="104" t="s">
        <v>83</v>
      </c>
      <c r="J39" s="184"/>
      <c r="K39" s="182"/>
      <c r="L39" s="184"/>
      <c r="M39" s="184"/>
      <c r="N39" s="184"/>
      <c r="O39" s="184"/>
      <c r="P39" s="184"/>
      <c r="Q39" s="184"/>
      <c r="R39" s="184"/>
      <c r="S39" s="184"/>
      <c r="T39" s="76"/>
      <c r="U39" s="97"/>
      <c r="V39" s="105"/>
      <c r="W39" s="105"/>
      <c r="X39" s="105"/>
      <c r="AK39" s="11"/>
    </row>
    <row r="40" spans="1:37" ht="20.25" customHeight="1" thickBot="1">
      <c r="A40" s="857"/>
      <c r="B40" s="893" t="s">
        <v>411</v>
      </c>
      <c r="C40" s="894"/>
      <c r="D40" s="930"/>
      <c r="E40" s="842" t="s">
        <v>367</v>
      </c>
      <c r="F40" s="931"/>
      <c r="G40" s="842" t="s">
        <v>415</v>
      </c>
      <c r="H40" s="844"/>
      <c r="I40" s="184" t="s">
        <v>314</v>
      </c>
      <c r="J40" s="184"/>
      <c r="K40" s="184"/>
      <c r="L40" s="182"/>
      <c r="M40" s="182"/>
      <c r="N40" s="182"/>
      <c r="O40" s="182"/>
      <c r="P40" s="182"/>
      <c r="Q40" s="182"/>
      <c r="R40" s="182"/>
      <c r="S40" s="182"/>
      <c r="T40" s="76"/>
      <c r="U40" s="76"/>
      <c r="V40" s="88"/>
      <c r="W40" s="88"/>
      <c r="X40" s="88"/>
      <c r="Z40" s="430" t="s">
        <v>122</v>
      </c>
      <c r="AA40" s="431"/>
      <c r="AB40" s="431"/>
      <c r="AC40" s="927"/>
      <c r="AD40" s="146">
        <f>2/10</f>
        <v>0.2</v>
      </c>
      <c r="AE40" s="165"/>
      <c r="AK40" s="11"/>
    </row>
    <row r="41" spans="1:39" ht="20.25" customHeight="1" thickBot="1">
      <c r="A41" s="857"/>
      <c r="B41" s="893" t="s">
        <v>412</v>
      </c>
      <c r="C41" s="894"/>
      <c r="D41" s="930"/>
      <c r="E41" s="842" t="s">
        <v>368</v>
      </c>
      <c r="F41" s="931"/>
      <c r="G41" s="842" t="s">
        <v>416</v>
      </c>
      <c r="H41" s="844"/>
      <c r="I41" s="184" t="s">
        <v>313</v>
      </c>
      <c r="J41" s="104"/>
      <c r="K41" s="184"/>
      <c r="L41" s="99"/>
      <c r="M41" s="184"/>
      <c r="N41" s="184"/>
      <c r="O41" s="184"/>
      <c r="P41" s="184"/>
      <c r="Q41" s="184"/>
      <c r="R41" s="184"/>
      <c r="S41" s="184"/>
      <c r="T41" s="97"/>
      <c r="U41" s="76"/>
      <c r="V41" s="76"/>
      <c r="W41" s="76"/>
      <c r="X41" s="76"/>
      <c r="Z41" s="430" t="s">
        <v>186</v>
      </c>
      <c r="AA41" s="431"/>
      <c r="AB41" s="431"/>
      <c r="AC41" s="927"/>
      <c r="AD41" s="146">
        <f>3/10</f>
        <v>0.3</v>
      </c>
      <c r="AE41" s="165"/>
      <c r="AM41" s="83"/>
    </row>
    <row r="42" spans="1:35" ht="20.25" customHeight="1" thickBot="1">
      <c r="A42" s="857"/>
      <c r="B42" s="893" t="s">
        <v>413</v>
      </c>
      <c r="C42" s="894"/>
      <c r="D42" s="930"/>
      <c r="E42" s="842" t="s">
        <v>421</v>
      </c>
      <c r="F42" s="931"/>
      <c r="G42" s="842" t="s">
        <v>423</v>
      </c>
      <c r="H42" s="844"/>
      <c r="I42" s="251" t="s">
        <v>312</v>
      </c>
      <c r="J42" s="104"/>
      <c r="K42" s="104"/>
      <c r="L42" s="184"/>
      <c r="M42" s="184"/>
      <c r="N42" s="184"/>
      <c r="O42" s="184"/>
      <c r="P42" s="184"/>
      <c r="Q42" s="184"/>
      <c r="R42" s="184"/>
      <c r="S42" s="184"/>
      <c r="T42" s="76"/>
      <c r="U42" s="76"/>
      <c r="V42" s="76"/>
      <c r="W42" s="76"/>
      <c r="X42" s="76"/>
      <c r="AI42" s="82"/>
    </row>
    <row r="43" spans="1:35" ht="20.25" customHeight="1" thickBot="1">
      <c r="A43" s="857"/>
      <c r="B43" s="893" t="s">
        <v>414</v>
      </c>
      <c r="C43" s="894"/>
      <c r="D43" s="930"/>
      <c r="E43" s="842" t="s">
        <v>422</v>
      </c>
      <c r="F43" s="931"/>
      <c r="G43" s="842" t="s">
        <v>424</v>
      </c>
      <c r="H43" s="844"/>
      <c r="I43" s="99" t="s">
        <v>84</v>
      </c>
      <c r="J43" s="104"/>
      <c r="K43" s="104"/>
      <c r="L43" s="184"/>
      <c r="M43" s="104"/>
      <c r="N43" s="104"/>
      <c r="O43" s="104"/>
      <c r="P43" s="104"/>
      <c r="Q43" s="104"/>
      <c r="R43" s="104"/>
      <c r="S43" s="104"/>
      <c r="T43" s="76"/>
      <c r="V43" s="97"/>
      <c r="W43" s="97"/>
      <c r="X43" s="97"/>
      <c r="Z43" s="870" t="s">
        <v>85</v>
      </c>
      <c r="AA43" s="871"/>
      <c r="AB43" s="871"/>
      <c r="AC43" s="871"/>
      <c r="AD43" s="872"/>
      <c r="AE43" s="81"/>
      <c r="AF43" s="81" t="s">
        <v>389</v>
      </c>
      <c r="AG43" s="308" t="s">
        <v>187</v>
      </c>
      <c r="AH43" s="331" t="s">
        <v>188</v>
      </c>
      <c r="AI43" s="82"/>
    </row>
    <row r="44" spans="1:34" ht="20.25" customHeight="1" thickTop="1">
      <c r="A44" s="857"/>
      <c r="B44" s="864" t="s">
        <v>164</v>
      </c>
      <c r="C44" s="865"/>
      <c r="D44" s="944"/>
      <c r="E44" s="885">
        <v>50</v>
      </c>
      <c r="F44" s="953"/>
      <c r="G44" s="885">
        <v>75</v>
      </c>
      <c r="H44" s="887"/>
      <c r="I44" s="251"/>
      <c r="J44" s="88"/>
      <c r="K44" s="104"/>
      <c r="L44" s="104"/>
      <c r="M44" s="104"/>
      <c r="N44" s="104"/>
      <c r="O44" s="104"/>
      <c r="P44" s="104"/>
      <c r="Q44" s="104"/>
      <c r="R44" s="104"/>
      <c r="S44" s="104"/>
      <c r="T44" s="76"/>
      <c r="V44" s="76"/>
      <c r="W44" s="76"/>
      <c r="X44" s="76"/>
      <c r="Y44" s="89"/>
      <c r="Z44" s="876" t="s">
        <v>94</v>
      </c>
      <c r="AA44" s="877"/>
      <c r="AB44" s="877"/>
      <c r="AC44" s="877"/>
      <c r="AD44" s="877"/>
      <c r="AE44" s="159"/>
      <c r="AF44" s="328">
        <v>100</v>
      </c>
      <c r="AG44" s="325">
        <f aca="true" t="shared" si="0" ref="AG44:AG55">ROUNDUP($AF44*$AD$38*$AD$40,0)</f>
        <v>207</v>
      </c>
      <c r="AH44" s="332">
        <f aca="true" t="shared" si="1" ref="AH44:AH55">ROUNDUP($AF44*$AD$38*$AD$41,0)</f>
        <v>310</v>
      </c>
    </row>
    <row r="45" spans="1:34" ht="20.25" customHeight="1" thickBot="1">
      <c r="A45" s="857"/>
      <c r="B45" s="891" t="s">
        <v>165</v>
      </c>
      <c r="C45" s="892"/>
      <c r="D45" s="940"/>
      <c r="E45" s="938">
        <v>496</v>
      </c>
      <c r="F45" s="952"/>
      <c r="G45" s="938">
        <v>744</v>
      </c>
      <c r="H45" s="939"/>
      <c r="I45" s="104" t="s">
        <v>454</v>
      </c>
      <c r="K45" s="100"/>
      <c r="L45" s="100"/>
      <c r="M45" s="88"/>
      <c r="N45" s="88"/>
      <c r="O45" s="88"/>
      <c r="P45" s="88"/>
      <c r="Q45" s="88"/>
      <c r="R45" s="88"/>
      <c r="S45" s="88"/>
      <c r="V45" s="76"/>
      <c r="W45" s="76"/>
      <c r="X45" s="76"/>
      <c r="Y45" s="89"/>
      <c r="Z45" s="932" t="s">
        <v>387</v>
      </c>
      <c r="AA45" s="933"/>
      <c r="AB45" s="933"/>
      <c r="AC45" s="933"/>
      <c r="AD45" s="934"/>
      <c r="AE45" s="159"/>
      <c r="AF45" s="326" t="s">
        <v>390</v>
      </c>
      <c r="AG45" s="330">
        <f t="shared" si="0"/>
        <v>-98</v>
      </c>
      <c r="AH45" s="333">
        <f t="shared" si="1"/>
        <v>-146</v>
      </c>
    </row>
    <row r="46" spans="1:34" ht="20.25" customHeight="1" thickBot="1" thickTop="1">
      <c r="A46" s="857"/>
      <c r="B46" s="901" t="s">
        <v>451</v>
      </c>
      <c r="C46" s="902"/>
      <c r="D46" s="946"/>
      <c r="E46" s="867">
        <v>100</v>
      </c>
      <c r="F46" s="868"/>
      <c r="G46" s="868"/>
      <c r="H46" s="869"/>
      <c r="I46" s="58" t="s">
        <v>87</v>
      </c>
      <c r="K46" s="64"/>
      <c r="L46" s="88"/>
      <c r="V46" s="76"/>
      <c r="W46" s="76"/>
      <c r="X46" s="76"/>
      <c r="Y46" s="89"/>
      <c r="Z46" s="882" t="s">
        <v>383</v>
      </c>
      <c r="AA46" s="883"/>
      <c r="AB46" s="883"/>
      <c r="AC46" s="883"/>
      <c r="AD46" s="883"/>
      <c r="AE46" s="160"/>
      <c r="AF46" s="329">
        <v>560</v>
      </c>
      <c r="AG46" s="325">
        <f t="shared" si="0"/>
        <v>1157</v>
      </c>
      <c r="AH46" s="332">
        <f t="shared" si="1"/>
        <v>1736</v>
      </c>
    </row>
    <row r="47" spans="1:34" ht="20.25" customHeight="1">
      <c r="A47" s="856" t="s">
        <v>71</v>
      </c>
      <c r="B47" s="882" t="s">
        <v>33</v>
      </c>
      <c r="C47" s="883"/>
      <c r="D47" s="884"/>
      <c r="E47" s="873" t="s">
        <v>34</v>
      </c>
      <c r="F47" s="874"/>
      <c r="G47" s="874"/>
      <c r="H47" s="875"/>
      <c r="I47" s="104"/>
      <c r="J47" s="100"/>
      <c r="K47" s="64"/>
      <c r="L47" s="100"/>
      <c r="Y47" s="82"/>
      <c r="Z47" s="882" t="s">
        <v>384</v>
      </c>
      <c r="AA47" s="883"/>
      <c r="AB47" s="883"/>
      <c r="AC47" s="883"/>
      <c r="AD47" s="883"/>
      <c r="AE47" s="160"/>
      <c r="AF47" s="329">
        <v>240</v>
      </c>
      <c r="AG47" s="325">
        <f t="shared" si="0"/>
        <v>496</v>
      </c>
      <c r="AH47" s="332">
        <f t="shared" si="1"/>
        <v>744</v>
      </c>
    </row>
    <row r="48" spans="1:34" ht="20.25" customHeight="1">
      <c r="A48" s="857"/>
      <c r="B48" s="882" t="s">
        <v>51</v>
      </c>
      <c r="C48" s="883"/>
      <c r="D48" s="884"/>
      <c r="E48" s="873">
        <v>20</v>
      </c>
      <c r="F48" s="874"/>
      <c r="G48" s="874"/>
      <c r="H48" s="875"/>
      <c r="I48" s="58"/>
      <c r="J48" s="99"/>
      <c r="L48" s="100"/>
      <c r="M48" s="100"/>
      <c r="N48" s="100"/>
      <c r="O48" s="100"/>
      <c r="P48" s="100"/>
      <c r="Q48" s="100"/>
      <c r="R48" s="100"/>
      <c r="S48" s="100"/>
      <c r="W48" s="11"/>
      <c r="X48" s="11"/>
      <c r="Z48" s="882" t="s">
        <v>391</v>
      </c>
      <c r="AA48" s="883"/>
      <c r="AB48" s="883"/>
      <c r="AC48" s="883"/>
      <c r="AD48" s="883"/>
      <c r="AE48" s="160"/>
      <c r="AF48" s="329">
        <v>593</v>
      </c>
      <c r="AG48" s="325">
        <f t="shared" si="0"/>
        <v>1226</v>
      </c>
      <c r="AH48" s="332">
        <f t="shared" si="1"/>
        <v>1838</v>
      </c>
    </row>
    <row r="49" spans="1:34" ht="20.25" customHeight="1">
      <c r="A49" s="857"/>
      <c r="B49" s="882" t="s">
        <v>309</v>
      </c>
      <c r="C49" s="883"/>
      <c r="D49" s="884"/>
      <c r="E49" s="873">
        <v>30</v>
      </c>
      <c r="F49" s="874"/>
      <c r="G49" s="874"/>
      <c r="H49" s="875"/>
      <c r="I49" s="417"/>
      <c r="J49" s="100"/>
      <c r="K49" s="99"/>
      <c r="L49" s="100"/>
      <c r="M49" s="100"/>
      <c r="N49" s="100"/>
      <c r="O49" s="100"/>
      <c r="P49" s="100"/>
      <c r="Q49" s="100"/>
      <c r="R49" s="100"/>
      <c r="S49" s="100"/>
      <c r="Z49" s="882" t="s">
        <v>392</v>
      </c>
      <c r="AA49" s="883"/>
      <c r="AB49" s="883"/>
      <c r="AC49" s="883"/>
      <c r="AD49" s="883"/>
      <c r="AE49" s="160"/>
      <c r="AF49" s="329">
        <v>273</v>
      </c>
      <c r="AG49" s="325">
        <f t="shared" si="0"/>
        <v>565</v>
      </c>
      <c r="AH49" s="332">
        <f t="shared" si="1"/>
        <v>847</v>
      </c>
    </row>
    <row r="50" spans="1:34" ht="20.25" customHeight="1">
      <c r="A50" s="857"/>
      <c r="B50" s="882" t="s">
        <v>52</v>
      </c>
      <c r="C50" s="883"/>
      <c r="D50" s="884"/>
      <c r="E50" s="873">
        <v>70</v>
      </c>
      <c r="F50" s="874"/>
      <c r="G50" s="874"/>
      <c r="H50" s="875"/>
      <c r="I50" s="99"/>
      <c r="J50" s="101"/>
      <c r="K50" s="100"/>
      <c r="M50" s="100"/>
      <c r="N50" s="100"/>
      <c r="O50" s="100"/>
      <c r="P50" s="100"/>
      <c r="Q50" s="100"/>
      <c r="R50" s="100"/>
      <c r="S50" s="100"/>
      <c r="Y50" s="89"/>
      <c r="Z50" s="882" t="s">
        <v>385</v>
      </c>
      <c r="AA50" s="883"/>
      <c r="AB50" s="883"/>
      <c r="AC50" s="883"/>
      <c r="AD50" s="883"/>
      <c r="AE50" s="160"/>
      <c r="AF50" s="329">
        <v>830</v>
      </c>
      <c r="AG50" s="325">
        <f t="shared" si="0"/>
        <v>1715</v>
      </c>
      <c r="AH50" s="332">
        <f t="shared" si="1"/>
        <v>2573</v>
      </c>
    </row>
    <row r="51" spans="1:34" ht="20.25" customHeight="1">
      <c r="A51" s="857"/>
      <c r="B51" s="882" t="s">
        <v>320</v>
      </c>
      <c r="C51" s="883"/>
      <c r="D51" s="884"/>
      <c r="E51" s="873">
        <v>100</v>
      </c>
      <c r="F51" s="874"/>
      <c r="G51" s="874"/>
      <c r="H51" s="875"/>
      <c r="I51" s="99"/>
      <c r="K51" s="101"/>
      <c r="L51" s="99"/>
      <c r="M51" s="99"/>
      <c r="N51" s="99"/>
      <c r="O51" s="99"/>
      <c r="P51" s="99"/>
      <c r="Q51" s="99"/>
      <c r="R51" s="99"/>
      <c r="S51" s="99"/>
      <c r="Y51" s="89"/>
      <c r="Z51" s="882" t="s">
        <v>386</v>
      </c>
      <c r="AA51" s="883"/>
      <c r="AB51" s="883"/>
      <c r="AC51" s="883"/>
      <c r="AD51" s="883"/>
      <c r="AE51" s="160"/>
      <c r="AF51" s="329">
        <v>510</v>
      </c>
      <c r="AG51" s="325">
        <f t="shared" si="0"/>
        <v>1054</v>
      </c>
      <c r="AH51" s="332">
        <f t="shared" si="1"/>
        <v>1581</v>
      </c>
    </row>
    <row r="52" spans="1:34" ht="20.25" customHeight="1">
      <c r="A52" s="857"/>
      <c r="B52" s="882" t="s">
        <v>53</v>
      </c>
      <c r="C52" s="883"/>
      <c r="D52" s="884"/>
      <c r="E52" s="873">
        <v>1500</v>
      </c>
      <c r="F52" s="874"/>
      <c r="G52" s="874"/>
      <c r="H52" s="875"/>
      <c r="I52" s="99"/>
      <c r="K52" s="101"/>
      <c r="M52" s="99"/>
      <c r="N52" s="99"/>
      <c r="O52" s="99"/>
      <c r="P52" s="99"/>
      <c r="Q52" s="99"/>
      <c r="R52" s="99"/>
      <c r="S52" s="99"/>
      <c r="V52" s="11"/>
      <c r="Y52" s="89"/>
      <c r="Z52" s="882" t="s">
        <v>393</v>
      </c>
      <c r="AA52" s="883"/>
      <c r="AB52" s="883"/>
      <c r="AC52" s="883"/>
      <c r="AD52" s="883"/>
      <c r="AE52" s="160"/>
      <c r="AF52" s="329">
        <v>863</v>
      </c>
      <c r="AG52" s="325">
        <f t="shared" si="0"/>
        <v>1783</v>
      </c>
      <c r="AH52" s="332">
        <f t="shared" si="1"/>
        <v>2675</v>
      </c>
    </row>
    <row r="53" spans="1:34" ht="20.25" customHeight="1">
      <c r="A53" s="857"/>
      <c r="B53" s="882" t="s">
        <v>36</v>
      </c>
      <c r="C53" s="883"/>
      <c r="D53" s="884"/>
      <c r="E53" s="873">
        <v>500</v>
      </c>
      <c r="F53" s="874"/>
      <c r="G53" s="874"/>
      <c r="H53" s="875"/>
      <c r="I53" s="104"/>
      <c r="J53" s="129"/>
      <c r="K53" s="102"/>
      <c r="L53" s="99"/>
      <c r="M53" s="102"/>
      <c r="N53" s="102"/>
      <c r="O53" s="102"/>
      <c r="P53" s="102"/>
      <c r="Q53" s="102"/>
      <c r="R53" s="102"/>
      <c r="S53" s="102"/>
      <c r="V53" s="11"/>
      <c r="Y53" s="82"/>
      <c r="Z53" s="882" t="s">
        <v>394</v>
      </c>
      <c r="AA53" s="883"/>
      <c r="AB53" s="883"/>
      <c r="AC53" s="883"/>
      <c r="AD53" s="883"/>
      <c r="AE53" s="160"/>
      <c r="AF53" s="329">
        <v>543</v>
      </c>
      <c r="AG53" s="325">
        <f t="shared" si="0"/>
        <v>1122</v>
      </c>
      <c r="AH53" s="332">
        <f t="shared" si="1"/>
        <v>1683</v>
      </c>
    </row>
    <row r="54" spans="1:34" ht="20.25" customHeight="1">
      <c r="A54" s="857"/>
      <c r="B54" s="882" t="s">
        <v>54</v>
      </c>
      <c r="C54" s="883"/>
      <c r="D54" s="884"/>
      <c r="E54" s="888" t="s">
        <v>373</v>
      </c>
      <c r="F54" s="796"/>
      <c r="G54" s="796"/>
      <c r="H54" s="797"/>
      <c r="I54" s="58"/>
      <c r="K54" s="102"/>
      <c r="L54" s="99"/>
      <c r="M54" s="102"/>
      <c r="N54" s="102"/>
      <c r="O54" s="102"/>
      <c r="P54" s="102"/>
      <c r="Q54" s="102"/>
      <c r="R54" s="102"/>
      <c r="S54" s="102"/>
      <c r="V54" s="89"/>
      <c r="Z54" s="882" t="s">
        <v>131</v>
      </c>
      <c r="AA54" s="883"/>
      <c r="AB54" s="883"/>
      <c r="AC54" s="883"/>
      <c r="AD54" s="883"/>
      <c r="AE54" s="160"/>
      <c r="AF54" s="329">
        <v>24</v>
      </c>
      <c r="AG54" s="325">
        <f t="shared" si="0"/>
        <v>50</v>
      </c>
      <c r="AH54" s="332">
        <f t="shared" si="1"/>
        <v>75</v>
      </c>
    </row>
    <row r="55" spans="1:34" ht="20.25" customHeight="1">
      <c r="A55" s="857"/>
      <c r="B55" s="905" t="s">
        <v>64</v>
      </c>
      <c r="C55" s="796"/>
      <c r="D55" s="943"/>
      <c r="E55" s="888" t="s">
        <v>374</v>
      </c>
      <c r="F55" s="796"/>
      <c r="G55" s="796"/>
      <c r="H55" s="797"/>
      <c r="I55" s="99"/>
      <c r="K55" s="102"/>
      <c r="L55" s="99"/>
      <c r="M55" s="102"/>
      <c r="N55" s="102"/>
      <c r="O55" s="102"/>
      <c r="P55" s="102"/>
      <c r="Q55" s="102"/>
      <c r="R55" s="102"/>
      <c r="S55" s="102"/>
      <c r="V55" s="89"/>
      <c r="Z55" s="895" t="s">
        <v>104</v>
      </c>
      <c r="AA55" s="896"/>
      <c r="AB55" s="896"/>
      <c r="AC55" s="896"/>
      <c r="AD55" s="896"/>
      <c r="AE55" s="161"/>
      <c r="AF55" s="20">
        <v>240</v>
      </c>
      <c r="AG55" s="325">
        <f t="shared" si="0"/>
        <v>496</v>
      </c>
      <c r="AH55" s="332">
        <f t="shared" si="1"/>
        <v>744</v>
      </c>
    </row>
    <row r="56" spans="1:22" ht="20.25" customHeight="1">
      <c r="A56" s="857"/>
      <c r="B56" s="905" t="s">
        <v>65</v>
      </c>
      <c r="C56" s="796"/>
      <c r="D56" s="943"/>
      <c r="E56" s="888" t="s">
        <v>375</v>
      </c>
      <c r="F56" s="796"/>
      <c r="G56" s="796"/>
      <c r="H56" s="797"/>
      <c r="I56" s="99"/>
      <c r="K56" s="102"/>
      <c r="L56" s="99"/>
      <c r="M56" s="102"/>
      <c r="N56" s="102"/>
      <c r="O56" s="102"/>
      <c r="P56" s="102"/>
      <c r="Q56" s="102"/>
      <c r="R56" s="102"/>
      <c r="S56" s="102"/>
      <c r="V56" s="82"/>
    </row>
    <row r="57" spans="1:33" ht="20.25" customHeight="1">
      <c r="A57" s="857"/>
      <c r="B57" s="882" t="s">
        <v>55</v>
      </c>
      <c r="C57" s="883"/>
      <c r="D57" s="884"/>
      <c r="E57" s="873">
        <v>1000</v>
      </c>
      <c r="F57" s="874"/>
      <c r="G57" s="874"/>
      <c r="H57" s="875"/>
      <c r="I57" s="104"/>
      <c r="J57" s="94"/>
      <c r="K57" s="102"/>
      <c r="L57" s="99"/>
      <c r="M57" s="102"/>
      <c r="N57" s="102"/>
      <c r="O57" s="102"/>
      <c r="P57" s="102"/>
      <c r="Q57" s="102"/>
      <c r="R57" s="102"/>
      <c r="S57" s="102"/>
      <c r="AD57" s="83"/>
      <c r="AE57" s="83"/>
      <c r="AF57" s="83"/>
      <c r="AG57" s="83"/>
    </row>
    <row r="58" spans="1:20" ht="20.25" customHeight="1" thickBot="1">
      <c r="A58" s="857"/>
      <c r="B58" s="903" t="s">
        <v>56</v>
      </c>
      <c r="C58" s="904"/>
      <c r="D58" s="947"/>
      <c r="E58" s="898">
        <v>800</v>
      </c>
      <c r="F58" s="899"/>
      <c r="G58" s="899"/>
      <c r="H58" s="900"/>
      <c r="I58" s="99"/>
      <c r="K58" s="102"/>
      <c r="L58" s="99"/>
      <c r="M58" s="102"/>
      <c r="N58" s="102"/>
      <c r="O58" s="102"/>
      <c r="P58" s="102"/>
      <c r="Q58" s="102"/>
      <c r="R58" s="102"/>
      <c r="S58" s="102"/>
      <c r="T58" s="5"/>
    </row>
    <row r="59" spans="1:19" ht="20.25" customHeight="1" thickBot="1">
      <c r="A59" s="866"/>
      <c r="B59" s="128"/>
      <c r="C59" s="128"/>
      <c r="D59" s="128"/>
      <c r="E59" s="128"/>
      <c r="F59" s="128"/>
      <c r="G59" s="128"/>
      <c r="H59" s="128"/>
      <c r="I59" s="57"/>
      <c r="K59" s="102"/>
      <c r="L59" s="99"/>
      <c r="M59" s="102"/>
      <c r="N59" s="102"/>
      <c r="O59" s="102"/>
      <c r="P59" s="102"/>
      <c r="Q59" s="102"/>
      <c r="R59" s="102"/>
      <c r="S59" s="102"/>
    </row>
    <row r="60" spans="1:29" ht="20.25" customHeight="1">
      <c r="A60" s="340"/>
      <c r="B60" s="128"/>
      <c r="C60" s="42" t="s">
        <v>166</v>
      </c>
      <c r="D60" s="42"/>
      <c r="E60" s="42"/>
      <c r="F60" s="42"/>
      <c r="G60" s="128"/>
      <c r="H60" s="128"/>
      <c r="I60" s="52"/>
      <c r="J60" s="52"/>
      <c r="L60" s="99"/>
      <c r="Z60" s="83"/>
      <c r="AA60" s="83"/>
      <c r="AB60" s="83"/>
      <c r="AC60" s="83"/>
    </row>
    <row r="61" spans="3:33" ht="18" customHeight="1">
      <c r="C61" s="42" t="s">
        <v>142</v>
      </c>
      <c r="D61" s="42"/>
      <c r="E61" s="42"/>
      <c r="F61" s="42"/>
      <c r="G61" s="128"/>
      <c r="H61" s="128"/>
      <c r="I61" s="52"/>
      <c r="J61" s="52"/>
      <c r="K61" s="52"/>
      <c r="M61" s="57"/>
      <c r="AC61" s="82"/>
      <c r="AD61" s="83"/>
      <c r="AE61" s="83"/>
      <c r="AF61" s="83"/>
      <c r="AG61" s="83"/>
    </row>
    <row r="62" spans="3:33" ht="25.5" customHeight="1">
      <c r="C62" s="42"/>
      <c r="D62" s="42"/>
      <c r="E62" s="42"/>
      <c r="F62" s="42"/>
      <c r="H62" s="61" t="s">
        <v>23</v>
      </c>
      <c r="I62" s="52"/>
      <c r="J62" s="52"/>
      <c r="K62" s="52"/>
      <c r="L62" s="52"/>
      <c r="N62" s="61"/>
      <c r="AD62" s="82"/>
      <c r="AE62" s="82"/>
      <c r="AF62" s="82"/>
      <c r="AG62" s="82"/>
    </row>
    <row r="63" spans="3:32" ht="25.5" customHeight="1">
      <c r="C63" s="42"/>
      <c r="D63" s="42"/>
      <c r="E63" s="42"/>
      <c r="F63" s="42"/>
      <c r="I63" s="61"/>
      <c r="J63" s="61" t="s">
        <v>24</v>
      </c>
      <c r="K63" s="52"/>
      <c r="L63" s="99"/>
      <c r="M63" s="60"/>
      <c r="N63" s="61"/>
      <c r="AD63" s="82"/>
      <c r="AE63" s="82"/>
      <c r="AF63" s="82"/>
    </row>
    <row r="64" spans="7:18" ht="25.5" customHeight="1">
      <c r="G64" s="60"/>
      <c r="H64" s="60"/>
      <c r="K64" s="61"/>
      <c r="L64" s="42"/>
      <c r="M64" s="17"/>
      <c r="N64" s="17"/>
      <c r="O64" s="17"/>
      <c r="P64" s="17"/>
      <c r="Q64" s="17"/>
      <c r="R64" s="17"/>
    </row>
    <row r="65" spans="9:14" ht="25.5" customHeight="1">
      <c r="I65" s="60"/>
      <c r="J65" s="60"/>
      <c r="L65" s="61"/>
      <c r="N65" s="17"/>
    </row>
    <row r="66" spans="11:14" ht="25.5" customHeight="1">
      <c r="K66" s="60"/>
      <c r="L66" s="61"/>
      <c r="N66" s="17"/>
    </row>
    <row r="67" ht="25.5" customHeight="1">
      <c r="L67" s="25"/>
    </row>
    <row r="68" ht="25.5" customHeight="1"/>
    <row r="69" ht="25.5" customHeight="1">
      <c r="N69" s="5"/>
    </row>
  </sheetData>
  <sheetProtection/>
  <mergeCells count="154">
    <mergeCell ref="E48:H48"/>
    <mergeCell ref="E47:H47"/>
    <mergeCell ref="E46:H46"/>
    <mergeCell ref="G33:H33"/>
    <mergeCell ref="E33:F33"/>
    <mergeCell ref="E45:F45"/>
    <mergeCell ref="E44:F44"/>
    <mergeCell ref="E43:F43"/>
    <mergeCell ref="G36:H36"/>
    <mergeCell ref="B34:D34"/>
    <mergeCell ref="B46:D46"/>
    <mergeCell ref="B58:D58"/>
    <mergeCell ref="B57:D57"/>
    <mergeCell ref="B56:D56"/>
    <mergeCell ref="B53:D53"/>
    <mergeCell ref="B52:D52"/>
    <mergeCell ref="E42:F42"/>
    <mergeCell ref="E41:F41"/>
    <mergeCell ref="F18:F19"/>
    <mergeCell ref="F11:F15"/>
    <mergeCell ref="E39:F39"/>
    <mergeCell ref="E38:F38"/>
    <mergeCell ref="B55:D55"/>
    <mergeCell ref="E37:F37"/>
    <mergeCell ref="B44:D44"/>
    <mergeCell ref="B51:D51"/>
    <mergeCell ref="B50:D50"/>
    <mergeCell ref="B49:D49"/>
    <mergeCell ref="B48:D48"/>
    <mergeCell ref="B54:D54"/>
    <mergeCell ref="E52:H52"/>
    <mergeCell ref="B38:D38"/>
    <mergeCell ref="E51:H51"/>
    <mergeCell ref="E50:H50"/>
    <mergeCell ref="C17:E17"/>
    <mergeCell ref="H17:H19"/>
    <mergeCell ref="F20:F24"/>
    <mergeCell ref="E36:F36"/>
    <mergeCell ref="E35:F35"/>
    <mergeCell ref="E34:F34"/>
    <mergeCell ref="E49:H49"/>
    <mergeCell ref="D18:D19"/>
    <mergeCell ref="G20:G24"/>
    <mergeCell ref="B47:D47"/>
    <mergeCell ref="E9:E10"/>
    <mergeCell ref="B36:D36"/>
    <mergeCell ref="B45:D45"/>
    <mergeCell ref="B32:G32"/>
    <mergeCell ref="B33:D33"/>
    <mergeCell ref="B35:D35"/>
    <mergeCell ref="B43:D43"/>
    <mergeCell ref="B37:D37"/>
    <mergeCell ref="J17:J19"/>
    <mergeCell ref="E58:H58"/>
    <mergeCell ref="E57:H57"/>
    <mergeCell ref="E56:H56"/>
    <mergeCell ref="E55:H55"/>
    <mergeCell ref="E54:H54"/>
    <mergeCell ref="E53:H53"/>
    <mergeCell ref="E18:E19"/>
    <mergeCell ref="G45:H45"/>
    <mergeCell ref="I17:I19"/>
    <mergeCell ref="Z53:AD53"/>
    <mergeCell ref="Z49:AD49"/>
    <mergeCell ref="Z50:AD50"/>
    <mergeCell ref="Z51:AD51"/>
    <mergeCell ref="C8:E8"/>
    <mergeCell ref="H8:H10"/>
    <mergeCell ref="I8:I10"/>
    <mergeCell ref="J8:J10"/>
    <mergeCell ref="F8:G8"/>
    <mergeCell ref="D9:D10"/>
    <mergeCell ref="Z47:AD47"/>
    <mergeCell ref="A47:A59"/>
    <mergeCell ref="Z48:AD48"/>
    <mergeCell ref="G43:H43"/>
    <mergeCell ref="Z45:AD45"/>
    <mergeCell ref="G44:H44"/>
    <mergeCell ref="Z46:AD46"/>
    <mergeCell ref="Z54:AD54"/>
    <mergeCell ref="Z55:AD55"/>
    <mergeCell ref="Z52:AD52"/>
    <mergeCell ref="Z44:AD44"/>
    <mergeCell ref="B42:D42"/>
    <mergeCell ref="B41:D41"/>
    <mergeCell ref="G39:H39"/>
    <mergeCell ref="Z41:AC41"/>
    <mergeCell ref="G40:H40"/>
    <mergeCell ref="B40:D40"/>
    <mergeCell ref="B39:D39"/>
    <mergeCell ref="G41:H41"/>
    <mergeCell ref="E40:F40"/>
    <mergeCell ref="Z38:AC38"/>
    <mergeCell ref="G37:H37"/>
    <mergeCell ref="G38:H38"/>
    <mergeCell ref="Z40:AC40"/>
    <mergeCell ref="A35:A46"/>
    <mergeCell ref="G34:H34"/>
    <mergeCell ref="Z36:AC36"/>
    <mergeCell ref="G35:H35"/>
    <mergeCell ref="Z43:AD43"/>
    <mergeCell ref="G42:H42"/>
    <mergeCell ref="AC28:AF28"/>
    <mergeCell ref="AC29:AF29"/>
    <mergeCell ref="AC32:AF32"/>
    <mergeCell ref="AC34:AF34"/>
    <mergeCell ref="W20:W24"/>
    <mergeCell ref="X20:Y20"/>
    <mergeCell ref="Z20:Z24"/>
    <mergeCell ref="AA20:AA24"/>
    <mergeCell ref="X21:Y21"/>
    <mergeCell ref="X22:Y22"/>
    <mergeCell ref="AA18:AA19"/>
    <mergeCell ref="AB18:AD18"/>
    <mergeCell ref="AE18:AG18"/>
    <mergeCell ref="AH18:AJ18"/>
    <mergeCell ref="X19:Y19"/>
    <mergeCell ref="Z18:Z19"/>
    <mergeCell ref="V20:V24"/>
    <mergeCell ref="T18:T19"/>
    <mergeCell ref="U18:U19"/>
    <mergeCell ref="V18:V19"/>
    <mergeCell ref="W18:W19"/>
    <mergeCell ref="X18:Y18"/>
    <mergeCell ref="X23:Y23"/>
    <mergeCell ref="X24:Y24"/>
    <mergeCell ref="AC8:AE8"/>
    <mergeCell ref="AF8:AH8"/>
    <mergeCell ref="B18:B19"/>
    <mergeCell ref="C18:C19"/>
    <mergeCell ref="Y12:Z12"/>
    <mergeCell ref="Y13:Z13"/>
    <mergeCell ref="Y14:Z14"/>
    <mergeCell ref="Z16:AG16"/>
    <mergeCell ref="F17:G17"/>
    <mergeCell ref="G18:G19"/>
    <mergeCell ref="Y9:Z9"/>
    <mergeCell ref="Y10:Z10"/>
    <mergeCell ref="AA10:AA14"/>
    <mergeCell ref="AB10:AB14"/>
    <mergeCell ref="G11:G15"/>
    <mergeCell ref="Y11:Z11"/>
    <mergeCell ref="W10:W14"/>
    <mergeCell ref="X10:X14"/>
    <mergeCell ref="Z3:AI5"/>
    <mergeCell ref="B5:I5"/>
    <mergeCell ref="J5:K5"/>
    <mergeCell ref="B7:C7"/>
    <mergeCell ref="AI8:AK8"/>
    <mergeCell ref="B9:B10"/>
    <mergeCell ref="C9:C10"/>
    <mergeCell ref="F9:F10"/>
    <mergeCell ref="G9:G10"/>
    <mergeCell ref="Y8:Z8"/>
  </mergeCells>
  <printOptions horizontalCentered="1"/>
  <pageMargins left="0.11811023622047245" right="0" top="0.1968503937007874" bottom="0.1968503937007874" header="0" footer="0"/>
  <pageSetup horizontalDpi="600" verticalDpi="600" orientation="portrait" paperSize="9" scale="65" r:id="rId1"/>
  <colBreaks count="1" manualBreakCount="1">
    <brk id="12" min="1" max="63" man="1"/>
  </colBreaks>
</worksheet>
</file>

<file path=xl/worksheets/sheet9.xml><?xml version="1.0" encoding="utf-8"?>
<worksheet xmlns="http://schemas.openxmlformats.org/spreadsheetml/2006/main" xmlns:r="http://schemas.openxmlformats.org/officeDocument/2006/relationships">
  <sheetPr>
    <tabColor indexed="51"/>
  </sheetPr>
  <dimension ref="B1:P69"/>
  <sheetViews>
    <sheetView view="pageBreakPreview" zoomScaleSheetLayoutView="100" zoomScalePageLayoutView="0" workbookViewId="0" topLeftCell="A1">
      <selection activeCell="C34" sqref="C34:D34"/>
    </sheetView>
  </sheetViews>
  <sheetFormatPr defaultColWidth="9.00390625" defaultRowHeight="13.5"/>
  <cols>
    <col min="1" max="1" width="1.4921875" style="0" customWidth="1"/>
    <col min="2" max="2" width="2.625" style="0" customWidth="1"/>
    <col min="3" max="4" width="18.75390625" style="0" customWidth="1"/>
    <col min="5" max="5" width="14.375" style="0" customWidth="1"/>
    <col min="6" max="6" width="11.875" style="0" customWidth="1"/>
    <col min="7" max="7" width="18.75390625" style="0" customWidth="1"/>
    <col min="12" max="12" width="10.50390625" style="0" customWidth="1"/>
  </cols>
  <sheetData>
    <row r="1" spans="3:6" ht="17.25">
      <c r="C1" s="62" t="s">
        <v>57</v>
      </c>
      <c r="D1" s="13"/>
      <c r="E1" s="13"/>
      <c r="F1" s="13"/>
    </row>
    <row r="2" spans="3:7" ht="17.25">
      <c r="C2" s="63"/>
      <c r="D2" s="253"/>
      <c r="E2" s="253" t="s">
        <v>473</v>
      </c>
      <c r="F2" s="13"/>
      <c r="G2" s="64"/>
    </row>
    <row r="3" spans="3:7" ht="10.5" customHeight="1" thickBot="1">
      <c r="C3" s="63"/>
      <c r="D3" s="62"/>
      <c r="E3" s="13"/>
      <c r="F3" s="13"/>
      <c r="G3" s="66"/>
    </row>
    <row r="4" spans="3:6" ht="14.25" customHeight="1" thickBot="1">
      <c r="C4" s="963" t="s">
        <v>58</v>
      </c>
      <c r="D4" s="964"/>
      <c r="E4" s="13"/>
      <c r="F4" s="13"/>
    </row>
    <row r="5" spans="3:6" ht="10.5" customHeight="1">
      <c r="C5" s="65"/>
      <c r="D5" s="59"/>
      <c r="E5" s="59"/>
      <c r="F5" s="59"/>
    </row>
    <row r="6" spans="3:6" ht="14.25" thickBot="1">
      <c r="C6" s="965" t="s">
        <v>3</v>
      </c>
      <c r="D6" s="965"/>
      <c r="E6" s="65"/>
      <c r="F6" s="65"/>
    </row>
    <row r="7" spans="3:14" ht="12" customHeight="1">
      <c r="C7" s="67"/>
      <c r="D7" s="87"/>
      <c r="E7" s="966" t="s">
        <v>293</v>
      </c>
      <c r="F7" s="969">
        <f>$M$10</f>
        <v>2212</v>
      </c>
      <c r="J7" s="829" t="s">
        <v>6</v>
      </c>
      <c r="K7" s="617" t="s">
        <v>125</v>
      </c>
      <c r="L7" s="625" t="s">
        <v>120</v>
      </c>
      <c r="M7" s="977" t="s">
        <v>96</v>
      </c>
      <c r="N7" s="978"/>
    </row>
    <row r="8" spans="3:14" ht="12" customHeight="1">
      <c r="C8" s="68"/>
      <c r="D8" s="72"/>
      <c r="E8" s="967"/>
      <c r="F8" s="970"/>
      <c r="J8" s="921"/>
      <c r="K8" s="618"/>
      <c r="L8" s="626"/>
      <c r="M8" s="442" t="s">
        <v>89</v>
      </c>
      <c r="N8" s="979"/>
    </row>
    <row r="9" spans="3:14" ht="12" customHeight="1">
      <c r="C9" s="967" t="s">
        <v>59</v>
      </c>
      <c r="D9" s="972"/>
      <c r="E9" s="968"/>
      <c r="F9" s="971"/>
      <c r="J9" s="921"/>
      <c r="K9" s="618"/>
      <c r="L9" s="626"/>
      <c r="M9" s="442"/>
      <c r="N9" s="979"/>
    </row>
    <row r="10" spans="3:14" ht="12" customHeight="1">
      <c r="C10" s="967" t="s">
        <v>294</v>
      </c>
      <c r="D10" s="972"/>
      <c r="E10" s="973" t="s">
        <v>174</v>
      </c>
      <c r="F10" s="976">
        <f>$M$12</f>
        <v>4313</v>
      </c>
      <c r="J10" s="984" t="s">
        <v>108</v>
      </c>
      <c r="K10" s="980">
        <v>2053</v>
      </c>
      <c r="L10" s="980">
        <v>88</v>
      </c>
      <c r="M10" s="981">
        <f>ROUNDUP(($K$10+$L$10)*$N$18*$N$20,0)</f>
        <v>2212</v>
      </c>
      <c r="N10" s="982"/>
    </row>
    <row r="11" spans="3:14" ht="12" customHeight="1">
      <c r="C11" s="983"/>
      <c r="D11" s="979"/>
      <c r="E11" s="974"/>
      <c r="F11" s="970"/>
      <c r="J11" s="984"/>
      <c r="K11" s="980"/>
      <c r="L11" s="980"/>
      <c r="M11" s="981"/>
      <c r="N11" s="982"/>
    </row>
    <row r="12" spans="3:14" ht="12" customHeight="1">
      <c r="C12" s="200"/>
      <c r="D12" s="201"/>
      <c r="E12" s="975"/>
      <c r="F12" s="971"/>
      <c r="J12" s="984" t="s">
        <v>109</v>
      </c>
      <c r="K12" s="980">
        <v>3999</v>
      </c>
      <c r="L12" s="980">
        <v>176</v>
      </c>
      <c r="M12" s="981">
        <f>ROUNDUP(($K$12+$L$12)*$N$18*$N$20,0)</f>
        <v>4313</v>
      </c>
      <c r="N12" s="982"/>
    </row>
    <row r="13" spans="3:14" ht="25.5" customHeight="1" thickBot="1">
      <c r="C13" s="69" t="s">
        <v>60</v>
      </c>
      <c r="D13" s="34" t="s">
        <v>176</v>
      </c>
      <c r="E13" s="989">
        <v>500</v>
      </c>
      <c r="F13" s="875"/>
      <c r="J13" s="985"/>
      <c r="K13" s="986"/>
      <c r="L13" s="986"/>
      <c r="M13" s="987"/>
      <c r="N13" s="988"/>
    </row>
    <row r="14" spans="3:14" ht="25.5" customHeight="1" thickBot="1">
      <c r="C14" s="991" t="s">
        <v>175</v>
      </c>
      <c r="D14" s="992"/>
      <c r="E14" s="990">
        <v>100</v>
      </c>
      <c r="F14" s="900"/>
      <c r="M14" s="203"/>
      <c r="N14" s="203"/>
    </row>
    <row r="15" spans="3:6" ht="13.5">
      <c r="C15" s="996"/>
      <c r="D15" s="996"/>
      <c r="E15" s="13"/>
      <c r="F15" s="13"/>
    </row>
    <row r="16" spans="3:15" ht="18.75">
      <c r="C16" s="8"/>
      <c r="D16" s="8"/>
      <c r="E16" s="13"/>
      <c r="F16" s="13"/>
      <c r="L16" s="910"/>
      <c r="M16" s="910"/>
      <c r="N16" s="163"/>
      <c r="O16" s="163"/>
    </row>
    <row r="17" spans="3:6" ht="10.5" customHeight="1" thickBot="1">
      <c r="C17" s="8"/>
      <c r="D17" s="8"/>
      <c r="E17" s="13"/>
      <c r="F17" s="13"/>
    </row>
    <row r="18" spans="2:15" ht="21" customHeight="1" thickBot="1">
      <c r="B18" s="186" t="s">
        <v>336</v>
      </c>
      <c r="C18" s="183"/>
      <c r="D18" s="183"/>
      <c r="E18" s="183"/>
      <c r="F18" s="183"/>
      <c r="G18" s="183"/>
      <c r="L18" s="853" t="s">
        <v>123</v>
      </c>
      <c r="M18" s="855"/>
      <c r="N18" s="157">
        <v>10.33</v>
      </c>
      <c r="O18" s="164"/>
    </row>
    <row r="19" spans="2:15" ht="19.5" thickBot="1">
      <c r="B19" s="186" t="s">
        <v>160</v>
      </c>
      <c r="C19" s="25"/>
      <c r="E19" s="13"/>
      <c r="F19" s="13"/>
      <c r="L19" s="102"/>
      <c r="M19" s="102"/>
      <c r="N19" s="164"/>
      <c r="O19" s="164"/>
    </row>
    <row r="20" spans="2:14" ht="19.5" thickBot="1">
      <c r="B20" s="1001" t="s">
        <v>372</v>
      </c>
      <c r="C20" s="1001"/>
      <c r="D20" s="1001"/>
      <c r="E20" s="1001"/>
      <c r="F20" s="345"/>
      <c r="G20" s="345"/>
      <c r="K20" s="879" t="s">
        <v>124</v>
      </c>
      <c r="L20" s="880"/>
      <c r="M20" s="997"/>
      <c r="N20" s="146">
        <f>1/10</f>
        <v>0.1</v>
      </c>
    </row>
    <row r="21" spans="2:14" ht="19.5" thickBot="1">
      <c r="B21" s="224"/>
      <c r="C21" s="345"/>
      <c r="D21" s="345"/>
      <c r="E21" s="345"/>
      <c r="F21" s="345"/>
      <c r="G21" s="345"/>
      <c r="K21" s="213"/>
      <c r="L21" s="213"/>
      <c r="M21" s="213"/>
      <c r="N21" s="165"/>
    </row>
    <row r="22" spans="2:16" ht="18" customHeight="1">
      <c r="B22" s="302" t="s">
        <v>141</v>
      </c>
      <c r="C22" s="25"/>
      <c r="E22" s="13"/>
      <c r="F22" s="13"/>
      <c r="I22" s="999" t="s">
        <v>31</v>
      </c>
      <c r="J22" s="1000"/>
      <c r="K22" s="1000"/>
      <c r="L22" s="1000"/>
      <c r="M22" s="242"/>
      <c r="N22" s="1011"/>
      <c r="O22" s="1012"/>
      <c r="P22" s="1013"/>
    </row>
    <row r="23" spans="3:16" ht="15" customHeight="1">
      <c r="C23" s="25"/>
      <c r="E23" s="13"/>
      <c r="F23" s="13"/>
      <c r="I23" s="1018" t="s">
        <v>167</v>
      </c>
      <c r="J23" s="1019"/>
      <c r="K23" s="1019"/>
      <c r="L23" s="1019"/>
      <c r="M23" s="243">
        <v>225</v>
      </c>
      <c r="N23" s="994">
        <f>ROUNDUP($M$23*$N$18*$N$20,0)</f>
        <v>233</v>
      </c>
      <c r="O23" s="994"/>
      <c r="P23" s="995"/>
    </row>
    <row r="24" spans="3:16" ht="15" customHeight="1" thickBot="1">
      <c r="C24" s="998" t="s">
        <v>31</v>
      </c>
      <c r="D24" s="998"/>
      <c r="E24" s="241"/>
      <c r="F24" s="241"/>
      <c r="I24" s="993" t="s">
        <v>168</v>
      </c>
      <c r="J24" s="535"/>
      <c r="K24" s="535"/>
      <c r="L24" s="535"/>
      <c r="M24" s="244">
        <v>150</v>
      </c>
      <c r="N24" s="994">
        <f>ROUNDUP($M$24*$N$18*$N$20,0)</f>
        <v>155</v>
      </c>
      <c r="O24" s="994"/>
      <c r="P24" s="995"/>
    </row>
    <row r="25" spans="2:16" ht="16.5" customHeight="1" thickBot="1">
      <c r="B25" s="954" t="s">
        <v>72</v>
      </c>
      <c r="C25" s="1014" t="s">
        <v>167</v>
      </c>
      <c r="D25" s="1015"/>
      <c r="E25" s="1016">
        <v>233</v>
      </c>
      <c r="F25" s="1017"/>
      <c r="I25" s="1020" t="s">
        <v>169</v>
      </c>
      <c r="J25" s="1021"/>
      <c r="K25" s="1021"/>
      <c r="L25" s="1021"/>
      <c r="M25" s="1022" t="s">
        <v>116</v>
      </c>
      <c r="N25" s="1022"/>
      <c r="O25" s="1022"/>
      <c r="P25" s="1023"/>
    </row>
    <row r="26" spans="2:15" ht="16.5" customHeight="1">
      <c r="B26" s="955"/>
      <c r="C26" s="1005" t="s">
        <v>168</v>
      </c>
      <c r="D26" s="1006"/>
      <c r="E26" s="989">
        <v>155</v>
      </c>
      <c r="F26" s="875"/>
      <c r="O26" s="13"/>
    </row>
    <row r="27" spans="2:15" ht="16.5" customHeight="1">
      <c r="B27" s="955"/>
      <c r="C27" s="960" t="s">
        <v>483</v>
      </c>
      <c r="D27" s="960"/>
      <c r="E27" s="961" t="s">
        <v>116</v>
      </c>
      <c r="F27" s="962"/>
      <c r="O27" s="13"/>
    </row>
    <row r="28" spans="2:6" ht="16.5" customHeight="1">
      <c r="B28" s="955"/>
      <c r="C28" s="959" t="s">
        <v>484</v>
      </c>
      <c r="D28" s="960"/>
      <c r="E28" s="961" t="s">
        <v>335</v>
      </c>
      <c r="F28" s="962"/>
    </row>
    <row r="29" spans="2:6" ht="16.5" customHeight="1" thickBot="1">
      <c r="B29" s="956"/>
      <c r="C29" s="371" t="s">
        <v>505</v>
      </c>
      <c r="D29" s="352"/>
      <c r="E29" s="1009" t="s">
        <v>480</v>
      </c>
      <c r="F29" s="1010"/>
    </row>
    <row r="30" spans="2:6" ht="16.5" customHeight="1">
      <c r="B30" s="485" t="s">
        <v>71</v>
      </c>
      <c r="C30" s="1003" t="s">
        <v>446</v>
      </c>
      <c r="D30" s="1004"/>
      <c r="E30" s="1007">
        <v>100</v>
      </c>
      <c r="F30" s="1008"/>
    </row>
    <row r="31" spans="2:6" ht="16.5" customHeight="1">
      <c r="B31" s="486"/>
      <c r="C31" s="991" t="s">
        <v>33</v>
      </c>
      <c r="D31" s="1002"/>
      <c r="E31" s="905" t="s">
        <v>34</v>
      </c>
      <c r="F31" s="797"/>
    </row>
    <row r="32" spans="2:6" ht="16.5" customHeight="1">
      <c r="B32" s="486"/>
      <c r="C32" s="1003" t="s">
        <v>61</v>
      </c>
      <c r="D32" s="1004"/>
      <c r="E32" s="989">
        <v>20</v>
      </c>
      <c r="F32" s="875"/>
    </row>
    <row r="33" spans="2:6" ht="16.5" customHeight="1">
      <c r="B33" s="486"/>
      <c r="C33" s="70" t="s">
        <v>324</v>
      </c>
      <c r="D33" s="71"/>
      <c r="E33" s="989">
        <v>30</v>
      </c>
      <c r="F33" s="875"/>
    </row>
    <row r="34" spans="2:6" ht="16.5" customHeight="1">
      <c r="B34" s="486"/>
      <c r="C34" s="1024" t="s">
        <v>325</v>
      </c>
      <c r="D34" s="1006"/>
      <c r="E34" s="989">
        <v>70</v>
      </c>
      <c r="F34" s="875"/>
    </row>
    <row r="35" spans="2:6" ht="16.5" customHeight="1">
      <c r="B35" s="486"/>
      <c r="C35" s="1024" t="s">
        <v>322</v>
      </c>
      <c r="D35" s="1006"/>
      <c r="E35" s="989">
        <v>100</v>
      </c>
      <c r="F35" s="875"/>
    </row>
    <row r="36" spans="2:6" ht="16.5" customHeight="1">
      <c r="B36" s="486"/>
      <c r="C36" s="991" t="s">
        <v>53</v>
      </c>
      <c r="D36" s="1002"/>
      <c r="E36" s="989">
        <v>1500</v>
      </c>
      <c r="F36" s="875"/>
    </row>
    <row r="37" spans="2:6" ht="16.5" customHeight="1">
      <c r="B37" s="486"/>
      <c r="C37" s="991" t="s">
        <v>36</v>
      </c>
      <c r="D37" s="1002"/>
      <c r="E37" s="989">
        <v>500</v>
      </c>
      <c r="F37" s="875"/>
    </row>
    <row r="38" spans="2:6" ht="16.5" customHeight="1">
      <c r="B38" s="486"/>
      <c r="C38" s="1024" t="s">
        <v>63</v>
      </c>
      <c r="D38" s="1006"/>
      <c r="E38" s="796" t="s">
        <v>447</v>
      </c>
      <c r="F38" s="797"/>
    </row>
    <row r="39" spans="2:6" ht="16.5" customHeight="1">
      <c r="B39" s="486"/>
      <c r="C39" s="1024" t="s">
        <v>64</v>
      </c>
      <c r="D39" s="1006"/>
      <c r="E39" s="905" t="s">
        <v>374</v>
      </c>
      <c r="F39" s="797"/>
    </row>
    <row r="40" spans="2:6" ht="16.5" customHeight="1">
      <c r="B40" s="486"/>
      <c r="C40" s="1024" t="s">
        <v>65</v>
      </c>
      <c r="D40" s="1006"/>
      <c r="E40" s="905" t="s">
        <v>375</v>
      </c>
      <c r="F40" s="797"/>
    </row>
    <row r="41" spans="2:6" ht="16.5" customHeight="1">
      <c r="B41" s="486"/>
      <c r="C41" s="1024" t="s">
        <v>66</v>
      </c>
      <c r="D41" s="1006"/>
      <c r="E41" s="989">
        <v>1000</v>
      </c>
      <c r="F41" s="875"/>
    </row>
    <row r="42" spans="2:6" ht="16.5" customHeight="1" thickBot="1">
      <c r="B42" s="487"/>
      <c r="C42" s="1026" t="s">
        <v>56</v>
      </c>
      <c r="D42" s="1027"/>
      <c r="E42" s="990">
        <v>800</v>
      </c>
      <c r="F42" s="900"/>
    </row>
    <row r="43" spans="2:6" ht="15" customHeight="1">
      <c r="B43" s="246"/>
      <c r="E43" s="13"/>
      <c r="F43" s="13"/>
    </row>
    <row r="44" spans="2:6" ht="15" customHeight="1">
      <c r="B44" s="224" t="s">
        <v>485</v>
      </c>
      <c r="C44" s="224"/>
      <c r="D44" s="345"/>
      <c r="E44" s="13"/>
      <c r="F44" s="13"/>
    </row>
    <row r="45" spans="3:6" ht="14.25">
      <c r="C45" s="372"/>
      <c r="D45" s="90"/>
      <c r="E45" s="76"/>
      <c r="F45" s="76"/>
    </row>
    <row r="46" spans="5:6" ht="13.5">
      <c r="E46" s="13"/>
      <c r="F46" s="13"/>
    </row>
    <row r="47" spans="3:6" ht="13.5" customHeight="1">
      <c r="C47" s="25" t="s">
        <v>161</v>
      </c>
      <c r="E47" s="13"/>
      <c r="F47" s="13"/>
    </row>
    <row r="48" spans="3:6" ht="13.5">
      <c r="C48" t="s">
        <v>67</v>
      </c>
      <c r="E48" s="13"/>
      <c r="F48" s="13"/>
    </row>
    <row r="49" spans="3:6" ht="13.5">
      <c r="C49" t="s">
        <v>68</v>
      </c>
      <c r="E49" s="13"/>
      <c r="F49" s="13"/>
    </row>
    <row r="50" spans="5:6" ht="13.5">
      <c r="E50" s="13"/>
      <c r="F50" s="13"/>
    </row>
    <row r="51" spans="5:6" ht="13.5">
      <c r="E51" s="13"/>
      <c r="F51" s="13"/>
    </row>
    <row r="52" spans="5:6" ht="13.5">
      <c r="E52" s="13"/>
      <c r="F52" s="13"/>
    </row>
    <row r="53" spans="5:6" ht="13.5">
      <c r="E53" s="1" t="s">
        <v>97</v>
      </c>
      <c r="F53" s="13"/>
    </row>
    <row r="54" spans="5:6" ht="13.5">
      <c r="E54" s="13"/>
      <c r="F54" s="13"/>
    </row>
    <row r="55" spans="3:6" ht="13.5">
      <c r="C55" t="s">
        <v>69</v>
      </c>
      <c r="E55" s="1"/>
      <c r="F55" s="13"/>
    </row>
    <row r="56" spans="3:6" ht="13.5">
      <c r="C56" s="64"/>
      <c r="D56" s="1"/>
      <c r="F56" s="1"/>
    </row>
    <row r="60" ht="13.5">
      <c r="G60" s="1"/>
    </row>
    <row r="63" spans="3:6" ht="25.5">
      <c r="C63" s="1028" t="s">
        <v>106</v>
      </c>
      <c r="D63" s="1028"/>
      <c r="E63" s="957" t="s">
        <v>107</v>
      </c>
      <c r="F63" s="958"/>
    </row>
    <row r="64" spans="3:6" ht="25.5">
      <c r="C64" s="1025">
        <f>ROUNDUP(72*10.33*0.1,0)</f>
        <v>75</v>
      </c>
      <c r="D64" s="1025"/>
      <c r="E64" s="130" t="s">
        <v>108</v>
      </c>
      <c r="F64" s="130">
        <f>ROUNDUP(1712*10.33*0.1,0)</f>
        <v>1769</v>
      </c>
    </row>
    <row r="65" spans="3:6" ht="39" customHeight="1">
      <c r="C65" s="1025">
        <f>ROUNDUP(144*10.33*0.1,0)</f>
        <v>149</v>
      </c>
      <c r="D65" s="1025"/>
      <c r="E65" s="131" t="s">
        <v>109</v>
      </c>
      <c r="F65" s="131">
        <f>ROUNDUP(3615*10.33*0.1,0)</f>
        <v>3735</v>
      </c>
    </row>
    <row r="66" spans="3:6" ht="49.5" customHeight="1">
      <c r="C66" t="s">
        <v>111</v>
      </c>
      <c r="E66" t="s">
        <v>110</v>
      </c>
      <c r="F66" t="s">
        <v>110</v>
      </c>
    </row>
    <row r="67" ht="49.5" customHeight="1">
      <c r="G67" s="202"/>
    </row>
    <row r="68" ht="39" customHeight="1">
      <c r="G68" s="130"/>
    </row>
    <row r="69" ht="39" customHeight="1">
      <c r="G69" s="131"/>
    </row>
    <row r="70" ht="39" customHeight="1"/>
    <row r="71" ht="39" customHeight="1"/>
    <row r="72" ht="39" customHeight="1"/>
    <row r="73" ht="26.25" customHeight="1"/>
    <row r="74" ht="26.25" customHeight="1"/>
    <row r="75" ht="26.25" customHeight="1"/>
    <row r="76" ht="26.25" customHeight="1"/>
    <row r="77" ht="26.25" customHeight="1"/>
    <row r="78" ht="26.25" customHeight="1"/>
    <row r="79" ht="26.25" customHeight="1"/>
    <row r="80" ht="26.25" customHeight="1"/>
  </sheetData>
  <sheetProtection/>
  <mergeCells count="79">
    <mergeCell ref="B30:B42"/>
    <mergeCell ref="C65:D65"/>
    <mergeCell ref="C42:D42"/>
    <mergeCell ref="E42:F42"/>
    <mergeCell ref="C63:D63"/>
    <mergeCell ref="C64:D64"/>
    <mergeCell ref="C39:D39"/>
    <mergeCell ref="E39:F39"/>
    <mergeCell ref="C40:D40"/>
    <mergeCell ref="C41:D41"/>
    <mergeCell ref="E41:F41"/>
    <mergeCell ref="C36:D36"/>
    <mergeCell ref="E36:F36"/>
    <mergeCell ref="C37:D37"/>
    <mergeCell ref="E37:F37"/>
    <mergeCell ref="C38:D38"/>
    <mergeCell ref="E38:F38"/>
    <mergeCell ref="E33:F33"/>
    <mergeCell ref="C34:D34"/>
    <mergeCell ref="E34:F34"/>
    <mergeCell ref="C35:D35"/>
    <mergeCell ref="E35:F35"/>
    <mergeCell ref="E40:F40"/>
    <mergeCell ref="N22:P22"/>
    <mergeCell ref="C25:D25"/>
    <mergeCell ref="E25:F25"/>
    <mergeCell ref="I23:L23"/>
    <mergeCell ref="N23:P23"/>
    <mergeCell ref="C27:D27"/>
    <mergeCell ref="E27:F27"/>
    <mergeCell ref="I25:L25"/>
    <mergeCell ref="M25:P25"/>
    <mergeCell ref="B20:E20"/>
    <mergeCell ref="C31:D31"/>
    <mergeCell ref="E31:F31"/>
    <mergeCell ref="C32:D32"/>
    <mergeCell ref="C26:D26"/>
    <mergeCell ref="E26:F26"/>
    <mergeCell ref="C30:D30"/>
    <mergeCell ref="E30:F30"/>
    <mergeCell ref="E32:F32"/>
    <mergeCell ref="E29:F29"/>
    <mergeCell ref="E14:F14"/>
    <mergeCell ref="L16:M16"/>
    <mergeCell ref="C14:D14"/>
    <mergeCell ref="I24:L24"/>
    <mergeCell ref="N24:P24"/>
    <mergeCell ref="C15:D15"/>
    <mergeCell ref="L18:M18"/>
    <mergeCell ref="K20:M20"/>
    <mergeCell ref="C24:D24"/>
    <mergeCell ref="I22:L22"/>
    <mergeCell ref="C9:D9"/>
    <mergeCell ref="M10:N11"/>
    <mergeCell ref="C11:D11"/>
    <mergeCell ref="J12:J13"/>
    <mergeCell ref="K12:K13"/>
    <mergeCell ref="L12:L13"/>
    <mergeCell ref="M12:N13"/>
    <mergeCell ref="E13:F13"/>
    <mergeCell ref="J10:J11"/>
    <mergeCell ref="K10:K11"/>
    <mergeCell ref="F10:F12"/>
    <mergeCell ref="J7:J9"/>
    <mergeCell ref="K7:K9"/>
    <mergeCell ref="L7:L9"/>
    <mergeCell ref="M7:N7"/>
    <mergeCell ref="M8:N9"/>
    <mergeCell ref="L10:L11"/>
    <mergeCell ref="B25:B29"/>
    <mergeCell ref="E63:F63"/>
    <mergeCell ref="C28:D28"/>
    <mergeCell ref="E28:F28"/>
    <mergeCell ref="C4:D4"/>
    <mergeCell ref="C6:D6"/>
    <mergeCell ref="E7:E9"/>
    <mergeCell ref="F7:F9"/>
    <mergeCell ref="C10:D10"/>
    <mergeCell ref="E10:E12"/>
  </mergeCells>
  <printOptions/>
  <pageMargins left="0.5905511811023623" right="0" top="0.5118110236220472" bottom="0.4724409448818898" header="0.2755905511811024" footer="0.3543307086614173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YAKUSHI</dc:creator>
  <cp:keywords/>
  <dc:description/>
  <cp:lastModifiedBy>おかたに病院　共同組織室</cp:lastModifiedBy>
  <cp:lastPrinted>2023-09-15T01:23:47Z</cp:lastPrinted>
  <dcterms:created xsi:type="dcterms:W3CDTF">2012-02-22T07:13:14Z</dcterms:created>
  <dcterms:modified xsi:type="dcterms:W3CDTF">2023-09-15T01:24:18Z</dcterms:modified>
  <cp:category/>
  <cp:version/>
  <cp:contentType/>
  <cp:contentStatus/>
</cp:coreProperties>
</file>